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Z:\Microsoft\2009backup\2018 SDOP\"/>
    </mc:Choice>
  </mc:AlternateContent>
  <xr:revisionPtr revIDLastSave="0" documentId="10_ncr:100000_{CF08E74B-2AA0-4BB0-847D-EC81AFCEB2F0}" xr6:coauthVersionLast="31" xr6:coauthVersionMax="31" xr10:uidLastSave="{00000000-0000-0000-0000-000000000000}"/>
  <bookViews>
    <workbookView xWindow="0" yWindow="0" windowWidth="19200" windowHeight="7050" tabRatio="762" xr2:uid="{00000000-000D-0000-FFFF-FFFF00000000}"/>
  </bookViews>
  <sheets>
    <sheet name="balance sheet" sheetId="28340" r:id="rId1"/>
    <sheet name="change in net assets" sheetId="5" r:id="rId2"/>
    <sheet name="income statement" sheetId="3" r:id="rId3"/>
    <sheet name="Pro Rata Income Statement" sheetId="680" state="hidden" r:id="rId4"/>
    <sheet name="Admin vs Prog" sheetId="1" r:id="rId5"/>
    <sheet name="domestic projects (with 0 proj)" sheetId="28367" r:id="rId6"/>
    <sheet name="int'l projects (with 0 proj)" sheetId="28368" r:id="rId7"/>
  </sheets>
  <definedNames>
    <definedName name="_xlnm.Print_Area" localSheetId="4">'Admin vs Prog'!$B$1:$H$67</definedName>
    <definedName name="_xlnm.Print_Area" localSheetId="0">'balance sheet'!$A$1:$J$56</definedName>
    <definedName name="_xlnm.Print_Area" localSheetId="1">'change in net assets'!$A$2:$G$41</definedName>
    <definedName name="_xlnm.Print_Area" localSheetId="5">'domestic projects (with 0 proj)'!$A$1:$G$103</definedName>
    <definedName name="_xlnm.Print_Area" localSheetId="2">'income statement'!$B$1:$I$54</definedName>
    <definedName name="_xlnm.Print_Area" localSheetId="6">'int''l projects (with 0 proj)'!$B$2:$K$35</definedName>
  </definedNames>
  <calcPr calcId="179017"/>
</workbook>
</file>

<file path=xl/calcChain.xml><?xml version="1.0" encoding="utf-8"?>
<calcChain xmlns="http://schemas.openxmlformats.org/spreadsheetml/2006/main">
  <c r="H34" i="28340" l="1"/>
  <c r="F21" i="3"/>
  <c r="D53" i="1"/>
  <c r="F78" i="28367"/>
  <c r="E89" i="28367"/>
  <c r="F24" i="3" l="1"/>
  <c r="F19" i="3"/>
  <c r="F15" i="3"/>
  <c r="F16" i="3"/>
  <c r="F14" i="3"/>
  <c r="D23" i="1"/>
  <c r="G15" i="5"/>
  <c r="I13" i="28368"/>
  <c r="G78" i="28367"/>
  <c r="F76" i="28367"/>
  <c r="G76" i="28367"/>
  <c r="F75" i="28367"/>
  <c r="G75" i="28367" s="1"/>
  <c r="F8" i="28367"/>
  <c r="F77" i="28367"/>
  <c r="F59" i="28367"/>
  <c r="F58" i="28367"/>
  <c r="F57" i="28367"/>
  <c r="F56" i="28367"/>
  <c r="F51" i="28367"/>
  <c r="F13" i="28367"/>
  <c r="F21" i="28367" l="1"/>
  <c r="J22" i="28368" l="1"/>
  <c r="K21" i="28368"/>
  <c r="K20" i="28368"/>
  <c r="H22" i="28368"/>
  <c r="K18" i="28368" l="1"/>
  <c r="K19" i="28368"/>
  <c r="I22" i="28368"/>
  <c r="K22" i="28368" l="1"/>
  <c r="I9" i="28368" l="1"/>
  <c r="E84" i="28367"/>
  <c r="G83" i="28367"/>
  <c r="G82" i="28367"/>
  <c r="G81" i="28367"/>
  <c r="G77" i="28367"/>
  <c r="G73" i="28367"/>
  <c r="G72" i="28367"/>
  <c r="G71" i="28367"/>
  <c r="G69" i="28367"/>
  <c r="F84" i="28367"/>
  <c r="G84" i="28367" l="1"/>
  <c r="I11" i="28368"/>
  <c r="F63" i="28367"/>
  <c r="F62" i="28367"/>
  <c r="F34" i="28367"/>
  <c r="F33" i="28367"/>
  <c r="F60" i="28367"/>
  <c r="F55" i="28367"/>
  <c r="F31" i="28367"/>
  <c r="F17" i="28367"/>
  <c r="F49" i="28367"/>
  <c r="F52" i="3" l="1"/>
  <c r="C23" i="1" l="1"/>
  <c r="F64" i="28367" l="1"/>
  <c r="F23" i="28367"/>
  <c r="F19" i="28367"/>
  <c r="F53" i="28367"/>
  <c r="F22" i="28367" l="1"/>
  <c r="I12" i="28368" l="1"/>
  <c r="I10" i="28368"/>
  <c r="K11" i="28368"/>
  <c r="H12" i="28368"/>
  <c r="H10" i="28368"/>
  <c r="H9" i="28368"/>
  <c r="G60" i="28367" l="1"/>
  <c r="G59" i="28367"/>
  <c r="G58" i="28367"/>
  <c r="G57" i="28367"/>
  <c r="F52" i="28367"/>
  <c r="G52" i="28367" s="1"/>
  <c r="E24" i="5" l="1"/>
  <c r="F24" i="5" s="1"/>
  <c r="F22" i="3"/>
  <c r="F25" i="3" s="1"/>
  <c r="I22" i="3"/>
  <c r="I25" i="3" s="1"/>
  <c r="D22" i="3"/>
  <c r="D25" i="3" s="1"/>
  <c r="F38" i="3" l="1"/>
  <c r="K12" i="28368"/>
  <c r="K10" i="28368"/>
  <c r="G63" i="28367"/>
  <c r="G62" i="28367"/>
  <c r="G55" i="28367"/>
  <c r="F29" i="28367" l="1"/>
  <c r="F28" i="28367"/>
  <c r="J15" i="28368" l="1"/>
  <c r="H15" i="28368"/>
  <c r="H25" i="28368" s="1"/>
  <c r="K14" i="28368"/>
  <c r="K13" i="28368"/>
  <c r="J25" i="28368"/>
  <c r="G34" i="28367"/>
  <c r="G33" i="28367"/>
  <c r="E35" i="28367"/>
  <c r="G31" i="28367"/>
  <c r="G29" i="28367"/>
  <c r="G28" i="28367"/>
  <c r="G64" i="28367"/>
  <c r="E65" i="28367"/>
  <c r="G56" i="28367"/>
  <c r="G53" i="28367"/>
  <c r="G51" i="28367"/>
  <c r="G49" i="28367"/>
  <c r="K15" i="28368" l="1"/>
  <c r="K25" i="28368" s="1"/>
  <c r="I15" i="28368"/>
  <c r="I25" i="28368" s="1"/>
  <c r="F35" i="28367"/>
  <c r="G35" i="28367"/>
  <c r="G65" i="28367"/>
  <c r="F65" i="28367"/>
  <c r="F15" i="28367" l="1"/>
  <c r="H17" i="28340" l="1"/>
  <c r="E18" i="1" l="1"/>
  <c r="D23" i="5" l="1"/>
  <c r="F23" i="5" s="1"/>
  <c r="G19" i="28367"/>
  <c r="G27" i="5"/>
  <c r="J41" i="28340" s="1"/>
  <c r="F30" i="3"/>
  <c r="D20" i="1"/>
  <c r="F31" i="3" s="1"/>
  <c r="D31" i="1"/>
  <c r="F32" i="3" s="1"/>
  <c r="D43" i="1"/>
  <c r="D51" i="1"/>
  <c r="F34" i="3" s="1"/>
  <c r="F35" i="3"/>
  <c r="C67" i="680" s="1"/>
  <c r="F36" i="3"/>
  <c r="C66" i="680" s="1"/>
  <c r="F37" i="3"/>
  <c r="C68" i="680" s="1"/>
  <c r="E25" i="5"/>
  <c r="F25" i="5" s="1"/>
  <c r="D16" i="5"/>
  <c r="E16" i="5" s="1"/>
  <c r="D19" i="5"/>
  <c r="E19" i="5" s="1"/>
  <c r="F19" i="5" s="1"/>
  <c r="E20" i="5"/>
  <c r="E21" i="5"/>
  <c r="D15" i="5"/>
  <c r="G8" i="28367"/>
  <c r="E30" i="1"/>
  <c r="A44" i="28367"/>
  <c r="E24" i="28367"/>
  <c r="G13" i="28367"/>
  <c r="G15" i="28367"/>
  <c r="F16" i="28367"/>
  <c r="G16" i="28367" s="1"/>
  <c r="G17" i="28367"/>
  <c r="G22" i="28367"/>
  <c r="G23" i="28367"/>
  <c r="D22" i="5"/>
  <c r="F22" i="5" s="1"/>
  <c r="E9" i="28367"/>
  <c r="E86" i="28367" s="1"/>
  <c r="F40" i="3"/>
  <c r="E26" i="5" s="1"/>
  <c r="F26" i="5" s="1"/>
  <c r="I35" i="28340"/>
  <c r="I36" i="28340" s="1"/>
  <c r="F75" i="5"/>
  <c r="F73" i="5"/>
  <c r="F68" i="5"/>
  <c r="F17" i="5"/>
  <c r="H21" i="3"/>
  <c r="E49" i="1"/>
  <c r="I11" i="3"/>
  <c r="F11" i="3"/>
  <c r="D8" i="1" s="1"/>
  <c r="C27" i="5"/>
  <c r="A5" i="5"/>
  <c r="E41" i="1"/>
  <c r="E40" i="1"/>
  <c r="E18" i="5"/>
  <c r="F18" i="5" s="1"/>
  <c r="D21" i="5"/>
  <c r="D20" i="5"/>
  <c r="F20" i="5" s="1"/>
  <c r="G59" i="1"/>
  <c r="E46" i="1"/>
  <c r="E16" i="1"/>
  <c r="D38" i="3"/>
  <c r="G46" i="1"/>
  <c r="C20" i="1"/>
  <c r="D31" i="3" s="1"/>
  <c r="I39" i="3"/>
  <c r="I42" i="3" s="1"/>
  <c r="G42" i="1"/>
  <c r="D30" i="3"/>
  <c r="E59" i="1"/>
  <c r="C43" i="1"/>
  <c r="D33" i="3" s="1"/>
  <c r="E13" i="1"/>
  <c r="J38" i="28340"/>
  <c r="J23" i="28340"/>
  <c r="J17" i="28340"/>
  <c r="I31" i="28368"/>
  <c r="F99" i="28367"/>
  <c r="E10" i="1"/>
  <c r="G10" i="1"/>
  <c r="E11" i="1"/>
  <c r="G11" i="1"/>
  <c r="E12" i="1"/>
  <c r="G12" i="1"/>
  <c r="G13" i="1"/>
  <c r="E14" i="1"/>
  <c r="G14" i="1"/>
  <c r="E15" i="1"/>
  <c r="G15" i="1"/>
  <c r="E17" i="1"/>
  <c r="E19" i="1"/>
  <c r="E23" i="1"/>
  <c r="E26" i="1"/>
  <c r="G26" i="1"/>
  <c r="E27" i="1"/>
  <c r="G27" i="1"/>
  <c r="E28" i="1"/>
  <c r="G28" i="1"/>
  <c r="E29" i="1"/>
  <c r="G29" i="1"/>
  <c r="C31" i="1"/>
  <c r="D32" i="3" s="1"/>
  <c r="E33" i="1"/>
  <c r="G33" i="1"/>
  <c r="E34" i="1"/>
  <c r="G34" i="1"/>
  <c r="E35" i="1"/>
  <c r="G35" i="1"/>
  <c r="E36" i="1"/>
  <c r="G36" i="1"/>
  <c r="E37" i="1"/>
  <c r="G37" i="1"/>
  <c r="E38" i="1"/>
  <c r="G38" i="1"/>
  <c r="E39" i="1"/>
  <c r="E45" i="1"/>
  <c r="G45" i="1"/>
  <c r="E47" i="1"/>
  <c r="G47" i="1"/>
  <c r="E48" i="1"/>
  <c r="G48" i="1"/>
  <c r="E50" i="1"/>
  <c r="G50" i="1"/>
  <c r="C51" i="1"/>
  <c r="D34" i="3" s="1"/>
  <c r="E53" i="1"/>
  <c r="G53" i="1"/>
  <c r="E54" i="1"/>
  <c r="G54" i="1"/>
  <c r="E55" i="1"/>
  <c r="G55" i="1"/>
  <c r="E56" i="1"/>
  <c r="C57" i="1"/>
  <c r="D57" i="1"/>
  <c r="C10" i="680"/>
  <c r="F10" i="680"/>
  <c r="D10" i="680" s="1"/>
  <c r="C12" i="680"/>
  <c r="G12" i="680" s="1"/>
  <c r="G13" i="680"/>
  <c r="G14" i="680"/>
  <c r="G15" i="680"/>
  <c r="G16" i="680"/>
  <c r="G17" i="680"/>
  <c r="G18" i="680"/>
  <c r="G19" i="680"/>
  <c r="G20" i="680"/>
  <c r="G21" i="680"/>
  <c r="G22" i="680"/>
  <c r="G23" i="680"/>
  <c r="D12" i="680"/>
  <c r="D13" i="680"/>
  <c r="E13" i="680" s="1"/>
  <c r="D14" i="680"/>
  <c r="E14" i="680" s="1"/>
  <c r="D15" i="680"/>
  <c r="E15" i="680" s="1"/>
  <c r="D16" i="680"/>
  <c r="E16" i="680" s="1"/>
  <c r="D17" i="680"/>
  <c r="E17" i="680" s="1"/>
  <c r="D18" i="680"/>
  <c r="E18" i="680" s="1"/>
  <c r="D19" i="680"/>
  <c r="E19" i="680" s="1"/>
  <c r="D20" i="680"/>
  <c r="E20" i="680" s="1"/>
  <c r="D21" i="680"/>
  <c r="E21" i="680" s="1"/>
  <c r="D22" i="680"/>
  <c r="E22" i="680" s="1"/>
  <c r="D23" i="680"/>
  <c r="E23" i="680" s="1"/>
  <c r="F24" i="680"/>
  <c r="F26" i="680"/>
  <c r="D26" i="680" s="1"/>
  <c r="F27" i="680"/>
  <c r="D27" i="680" s="1"/>
  <c r="E27" i="680" s="1"/>
  <c r="F28" i="680"/>
  <c r="D28" i="680" s="1"/>
  <c r="E28" i="680" s="1"/>
  <c r="D29" i="680"/>
  <c r="C30" i="680"/>
  <c r="F32" i="680"/>
  <c r="G32" i="680" s="1"/>
  <c r="G33" i="680"/>
  <c r="G34" i="680"/>
  <c r="G35" i="680"/>
  <c r="G36" i="680"/>
  <c r="G37" i="680"/>
  <c r="D33" i="680"/>
  <c r="E33" i="680" s="1"/>
  <c r="D34" i="680"/>
  <c r="E34" i="680" s="1"/>
  <c r="D35" i="680"/>
  <c r="E35" i="680" s="1"/>
  <c r="D36" i="680"/>
  <c r="E36" i="680" s="1"/>
  <c r="D37" i="680"/>
  <c r="E37" i="680" s="1"/>
  <c r="C38" i="680"/>
  <c r="C40" i="680"/>
  <c r="G40" i="680" s="1"/>
  <c r="G41" i="680" s="1"/>
  <c r="D40" i="680"/>
  <c r="D41" i="680" s="1"/>
  <c r="F41" i="680"/>
  <c r="F43" i="680"/>
  <c r="D43" i="680" s="1"/>
  <c r="D44" i="680" s="1"/>
  <c r="C48" i="680"/>
  <c r="F48" i="680"/>
  <c r="F50" i="680"/>
  <c r="F51" i="680"/>
  <c r="G51" i="680" s="1"/>
  <c r="F52" i="680"/>
  <c r="D52" i="680" s="1"/>
  <c r="E52" i="680" s="1"/>
  <c r="G50" i="680"/>
  <c r="D53" i="680"/>
  <c r="E53" i="680" s="1"/>
  <c r="G53" i="680"/>
  <c r="C54" i="680"/>
  <c r="F56" i="680"/>
  <c r="D56" i="680" s="1"/>
  <c r="C57" i="680"/>
  <c r="G57" i="680"/>
  <c r="G58" i="680"/>
  <c r="C59" i="680"/>
  <c r="G59" i="680" s="1"/>
  <c r="C60" i="680"/>
  <c r="G60" i="680" s="1"/>
  <c r="C61" i="680"/>
  <c r="G61" i="680" s="1"/>
  <c r="G62" i="680"/>
  <c r="D57" i="680"/>
  <c r="E57" i="680" s="1"/>
  <c r="D58" i="680"/>
  <c r="E58" i="680" s="1"/>
  <c r="D59" i="680"/>
  <c r="D60" i="680"/>
  <c r="E60" i="680" s="1"/>
  <c r="D61" i="680"/>
  <c r="D62" i="680"/>
  <c r="E62" i="680" s="1"/>
  <c r="D63" i="680"/>
  <c r="F66" i="680"/>
  <c r="F69" i="680" s="1"/>
  <c r="F67" i="680"/>
  <c r="D67" i="680" s="1"/>
  <c r="F68" i="680"/>
  <c r="D68" i="680" s="1"/>
  <c r="H12" i="3"/>
  <c r="H13" i="3"/>
  <c r="H14" i="3"/>
  <c r="H15" i="3"/>
  <c r="H16" i="3"/>
  <c r="H17" i="3"/>
  <c r="H18" i="3"/>
  <c r="H19" i="3"/>
  <c r="H20" i="3"/>
  <c r="D35" i="3"/>
  <c r="D36" i="3"/>
  <c r="D37" i="3"/>
  <c r="H23" i="28340"/>
  <c r="H25" i="28340" s="1"/>
  <c r="H26" i="28340"/>
  <c r="H84" i="28340"/>
  <c r="H85" i="28340"/>
  <c r="H86" i="28340"/>
  <c r="H87" i="28340"/>
  <c r="H88" i="28340"/>
  <c r="H89" i="28340"/>
  <c r="H101" i="28340"/>
  <c r="H102" i="28340"/>
  <c r="H103" i="28340"/>
  <c r="H104" i="28340"/>
  <c r="H105" i="28340"/>
  <c r="H107" i="28340"/>
  <c r="H108" i="28340"/>
  <c r="H109" i="28340"/>
  <c r="H110" i="28340"/>
  <c r="H111" i="28340"/>
  <c r="H112" i="28340"/>
  <c r="H113" i="28340"/>
  <c r="H115" i="28340"/>
  <c r="H116" i="28340"/>
  <c r="H117" i="28340"/>
  <c r="H121" i="28340"/>
  <c r="E42" i="1"/>
  <c r="G23" i="1"/>
  <c r="H30" i="28368"/>
  <c r="D50" i="680"/>
  <c r="E50" i="680" s="1"/>
  <c r="E61" i="680" l="1"/>
  <c r="J42" i="28340"/>
  <c r="J44" i="28340" s="1"/>
  <c r="G57" i="1"/>
  <c r="G48" i="680"/>
  <c r="G52" i="680"/>
  <c r="G26" i="680"/>
  <c r="H22" i="3"/>
  <c r="H25" i="3" s="1"/>
  <c r="H30" i="3"/>
  <c r="H36" i="3"/>
  <c r="E26" i="680"/>
  <c r="E30" i="680" s="1"/>
  <c r="D30" i="680"/>
  <c r="D32" i="680"/>
  <c r="G28" i="680"/>
  <c r="G27" i="680"/>
  <c r="G24" i="680"/>
  <c r="G51" i="1"/>
  <c r="E59" i="680"/>
  <c r="F38" i="680"/>
  <c r="G38" i="680"/>
  <c r="F30" i="680"/>
  <c r="E10" i="680"/>
  <c r="F21" i="5"/>
  <c r="H38" i="3"/>
  <c r="D66" i="680"/>
  <c r="D69" i="680" s="1"/>
  <c r="C64" i="680"/>
  <c r="D51" i="680"/>
  <c r="E51" i="680" s="1"/>
  <c r="E54" i="680" s="1"/>
  <c r="F54" i="680"/>
  <c r="F9" i="28367"/>
  <c r="E99" i="28367"/>
  <c r="E90" i="28367"/>
  <c r="G9" i="28367"/>
  <c r="F24" i="28367"/>
  <c r="E57" i="1"/>
  <c r="E51" i="1"/>
  <c r="C58" i="1"/>
  <c r="C61" i="1" s="1"/>
  <c r="E43" i="1"/>
  <c r="G67" i="680"/>
  <c r="E67" i="680"/>
  <c r="E56" i="680"/>
  <c r="E64" i="680" s="1"/>
  <c r="D64" i="680"/>
  <c r="G54" i="680"/>
  <c r="F33" i="3"/>
  <c r="F39" i="3" s="1"/>
  <c r="G43" i="1"/>
  <c r="E40" i="680"/>
  <c r="E41" i="680" s="1"/>
  <c r="F44" i="680"/>
  <c r="C24" i="680"/>
  <c r="H35" i="3"/>
  <c r="E12" i="680"/>
  <c r="E24" i="680" s="1"/>
  <c r="E31" i="1"/>
  <c r="J25" i="28340"/>
  <c r="D39" i="3"/>
  <c r="G10" i="680"/>
  <c r="F64" i="680"/>
  <c r="G56" i="680"/>
  <c r="G64" i="680" s="1"/>
  <c r="D48" i="680"/>
  <c r="E48" i="680" s="1"/>
  <c r="C41" i="680"/>
  <c r="D24" i="680"/>
  <c r="H32" i="3"/>
  <c r="H31" i="3"/>
  <c r="G68" i="680"/>
  <c r="E68" i="680"/>
  <c r="C43" i="680"/>
  <c r="G66" i="680"/>
  <c r="G69" i="680" s="1"/>
  <c r="H40" i="3"/>
  <c r="H37" i="3"/>
  <c r="H34" i="3"/>
  <c r="C69" i="680"/>
  <c r="C70" i="680" s="1"/>
  <c r="B58" i="680" s="1"/>
  <c r="E20" i="1"/>
  <c r="G20" i="1"/>
  <c r="G31" i="1"/>
  <c r="D58" i="1"/>
  <c r="D61" i="1" s="1"/>
  <c r="F16" i="5"/>
  <c r="D27" i="5"/>
  <c r="F70" i="680" l="1"/>
  <c r="F42" i="3"/>
  <c r="E15" i="5"/>
  <c r="D54" i="680"/>
  <c r="D70" i="680" s="1"/>
  <c r="F45" i="680"/>
  <c r="F86" i="28367"/>
  <c r="G70" i="680"/>
  <c r="E66" i="680"/>
  <c r="E69" i="680" s="1"/>
  <c r="E70" i="680" s="1"/>
  <c r="H33" i="3"/>
  <c r="H39" i="3" s="1"/>
  <c r="H42" i="3" s="1"/>
  <c r="H36" i="28340"/>
  <c r="D38" i="680"/>
  <c r="D45" i="680" s="1"/>
  <c r="E32" i="680"/>
  <c r="E38" i="680" s="1"/>
  <c r="G30" i="680"/>
  <c r="G24" i="28367"/>
  <c r="B66" i="680"/>
  <c r="B68" i="680"/>
  <c r="B60" i="680"/>
  <c r="F72" i="680"/>
  <c r="B52" i="680"/>
  <c r="B57" i="680"/>
  <c r="B48" i="680"/>
  <c r="B61" i="680"/>
  <c r="C44" i="680"/>
  <c r="C45" i="680" s="1"/>
  <c r="G43" i="680"/>
  <c r="G44" i="680" s="1"/>
  <c r="E43" i="680"/>
  <c r="E44" i="680" s="1"/>
  <c r="B59" i="680"/>
  <c r="B53" i="680"/>
  <c r="B63" i="680"/>
  <c r="B62" i="680"/>
  <c r="B51" i="680"/>
  <c r="B56" i="680"/>
  <c r="B67" i="680"/>
  <c r="B50" i="680"/>
  <c r="E58" i="1"/>
  <c r="G58" i="1"/>
  <c r="E61" i="1"/>
  <c r="G61" i="1"/>
  <c r="E29" i="5"/>
  <c r="G45" i="680" l="1"/>
  <c r="G86" i="28367"/>
  <c r="H35" i="28340" s="1"/>
  <c r="H38" i="28340" s="1"/>
  <c r="G72" i="680"/>
  <c r="D72" i="680"/>
  <c r="E45" i="680"/>
  <c r="E72" i="680" s="1"/>
  <c r="B69" i="680"/>
  <c r="B54" i="680"/>
  <c r="B64" i="680"/>
  <c r="B16" i="680"/>
  <c r="B23" i="680"/>
  <c r="B20" i="680"/>
  <c r="B19" i="680"/>
  <c r="B26" i="680"/>
  <c r="B17" i="680"/>
  <c r="B22" i="680"/>
  <c r="B27" i="680"/>
  <c r="B13" i="680"/>
  <c r="B21" i="680"/>
  <c r="B37" i="680"/>
  <c r="B36" i="680"/>
  <c r="B40" i="680"/>
  <c r="B41" i="680" s="1"/>
  <c r="B12" i="680"/>
  <c r="B28" i="680"/>
  <c r="B14" i="680"/>
  <c r="B32" i="680"/>
  <c r="B43" i="680"/>
  <c r="B44" i="680" s="1"/>
  <c r="B18" i="680"/>
  <c r="B34" i="680"/>
  <c r="B33" i="680"/>
  <c r="B15" i="680"/>
  <c r="B29" i="680"/>
  <c r="B10" i="680"/>
  <c r="B35" i="680"/>
  <c r="C72" i="680"/>
  <c r="B70" i="680" s="1"/>
  <c r="E27" i="5"/>
  <c r="F15" i="5"/>
  <c r="F27" i="5" s="1"/>
  <c r="H41" i="28340" s="1"/>
  <c r="H42" i="28340" s="1"/>
  <c r="H44" i="28340" l="1"/>
  <c r="I44" i="28340" s="1"/>
  <c r="B24" i="680"/>
  <c r="B30" i="680"/>
  <c r="B38" i="680"/>
  <c r="B45" i="680"/>
  <c r="B72" i="680" s="1"/>
  <c r="H49" i="28340" l="1"/>
  <c r="H47" i="28340"/>
</calcChain>
</file>

<file path=xl/sharedStrings.xml><?xml version="1.0" encoding="utf-8"?>
<sst xmlns="http://schemas.openxmlformats.org/spreadsheetml/2006/main" count="424" uniqueCount="320">
  <si>
    <t>PRESBYTERIAN COMMITTEE ON THE SELF-DEVELOPMENT OF PEOPLE</t>
  </si>
  <si>
    <t>PRESBYTERIAN CHURCH (USA)</t>
  </si>
  <si>
    <t>Investments</t>
  </si>
  <si>
    <t>Total Investments</t>
  </si>
  <si>
    <t>Other Assets</t>
  </si>
  <si>
    <t>Total Other Assets</t>
  </si>
  <si>
    <t xml:space="preserve">     TOTAL ASSETS</t>
  </si>
  <si>
    <t>Liabilities</t>
  </si>
  <si>
    <t>Total Liabilities</t>
  </si>
  <si>
    <t>Net Assets</t>
  </si>
  <si>
    <t>Total Net Assets</t>
  </si>
  <si>
    <t xml:space="preserve">     TOTAL LIABILITIES &amp; NET ASSETS</t>
  </si>
  <si>
    <t>PROGRESSION OF NET ASSETS</t>
  </si>
  <si>
    <t>Beginning</t>
  </si>
  <si>
    <t>YTD</t>
  </si>
  <si>
    <t xml:space="preserve">Ending </t>
  </si>
  <si>
    <t>Balance</t>
  </si>
  <si>
    <t>Revenue</t>
  </si>
  <si>
    <t>Expense</t>
  </si>
  <si>
    <t>TOTAL NET ASSETS</t>
  </si>
  <si>
    <t>Page 2</t>
  </si>
  <si>
    <t>BUDGET</t>
  </si>
  <si>
    <t xml:space="preserve">  OGHS (Allocated 32%)</t>
  </si>
  <si>
    <t>EXPENDITURES:</t>
  </si>
  <si>
    <t xml:space="preserve">  Salaries &amp; Benefits</t>
  </si>
  <si>
    <t xml:space="preserve">  Administration</t>
  </si>
  <si>
    <t xml:space="preserve">  Travel</t>
  </si>
  <si>
    <t xml:space="preserve">  Meeting Expense</t>
  </si>
  <si>
    <t xml:space="preserve">     TOTAL EXPENDITURES</t>
  </si>
  <si>
    <t xml:space="preserve">  OGHS (Designated)</t>
  </si>
  <si>
    <t>Variance</t>
  </si>
  <si>
    <t>Expenses</t>
  </si>
  <si>
    <t>Over (-) or</t>
  </si>
  <si>
    <t>Through</t>
  </si>
  <si>
    <t>Y-T-D</t>
  </si>
  <si>
    <t>Under</t>
  </si>
  <si>
    <t>Annual</t>
  </si>
  <si>
    <t>Available</t>
  </si>
  <si>
    <t>Budget</t>
  </si>
  <si>
    <t>YTD Budget</t>
  </si>
  <si>
    <t xml:space="preserve">                               A D M I N I S T R A T I V E   C O S T S</t>
  </si>
  <si>
    <t xml:space="preserve">     SALARIES &amp; BENEFITS</t>
  </si>
  <si>
    <t xml:space="preserve">     ADMINISTRATION</t>
  </si>
  <si>
    <t xml:space="preserve">          Copy Expense</t>
  </si>
  <si>
    <t xml:space="preserve">          Postage</t>
  </si>
  <si>
    <t xml:space="preserve">          Telephone</t>
  </si>
  <si>
    <t xml:space="preserve">          Computer Hardware</t>
  </si>
  <si>
    <t xml:space="preserve">          Office Expense</t>
  </si>
  <si>
    <t xml:space="preserve">          Maintenance Office Equip</t>
  </si>
  <si>
    <t xml:space="preserve">          Staff Career Development</t>
  </si>
  <si>
    <t xml:space="preserve">          Contingency</t>
  </si>
  <si>
    <t xml:space="preserve">          Books &amp; Subscriptions</t>
  </si>
  <si>
    <t xml:space="preserve">          Membership Dues</t>
  </si>
  <si>
    <t xml:space="preserve">          Office Equipment</t>
  </si>
  <si>
    <t xml:space="preserve">          PE&amp;I Resources</t>
  </si>
  <si>
    <t xml:space="preserve">     TOTAL ADMINISTRATION</t>
  </si>
  <si>
    <t xml:space="preserve">     TRAVEL</t>
  </si>
  <si>
    <t xml:space="preserve">                Fredic Walls</t>
  </si>
  <si>
    <t xml:space="preserve">                Cynthia White</t>
  </si>
  <si>
    <t xml:space="preserve">                Patty Lane</t>
  </si>
  <si>
    <t xml:space="preserve">     TOTAL TRAVEL</t>
  </si>
  <si>
    <t xml:space="preserve">     MEETING EXPENSE</t>
  </si>
  <si>
    <t xml:space="preserve">          National Committee</t>
  </si>
  <si>
    <t xml:space="preserve">          Steering Committee</t>
  </si>
  <si>
    <t xml:space="preserve">          General Assembly</t>
  </si>
  <si>
    <t xml:space="preserve">          Other Meetings</t>
  </si>
  <si>
    <t xml:space="preserve">          Personnel Committee</t>
  </si>
  <si>
    <t xml:space="preserve">          Certification Committee</t>
  </si>
  <si>
    <t xml:space="preserve">     TOTAL MEETING EXPENSE</t>
  </si>
  <si>
    <t xml:space="preserve">     INFO &amp; INTERPRETATION</t>
  </si>
  <si>
    <t xml:space="preserve">          Other Committee Resources</t>
  </si>
  <si>
    <t xml:space="preserve">     TOTAL INFO &amp; INTERPRET</t>
  </si>
  <si>
    <t xml:space="preserve">     GRANTS</t>
  </si>
  <si>
    <t xml:space="preserve">          Presbytery &amp; Synod</t>
  </si>
  <si>
    <t xml:space="preserve">     TOTAL PROGRAM GRANTS</t>
  </si>
  <si>
    <t xml:space="preserve">TOTAL ADMINISTRATIVE </t>
  </si>
  <si>
    <t xml:space="preserve">                               P R O G R A M  C O S T S </t>
  </si>
  <si>
    <t xml:space="preserve">              Fredic Walls</t>
  </si>
  <si>
    <t xml:space="preserve">              Cynthia White</t>
  </si>
  <si>
    <t xml:space="preserve">              Patty Lane</t>
  </si>
  <si>
    <t xml:space="preserve">              Other Staff</t>
  </si>
  <si>
    <t xml:space="preserve">        National Committee</t>
  </si>
  <si>
    <t xml:space="preserve">        South Task Force</t>
  </si>
  <si>
    <t xml:space="preserve">        Midwest Task Force</t>
  </si>
  <si>
    <t xml:space="preserve">        West Task Force</t>
  </si>
  <si>
    <t xml:space="preserve">        International Task Force</t>
  </si>
  <si>
    <t xml:space="preserve">        Northeast Task Force</t>
  </si>
  <si>
    <t xml:space="preserve">        Promo, Educ &amp; Interpret Cmte</t>
  </si>
  <si>
    <t xml:space="preserve">        International</t>
  </si>
  <si>
    <t xml:space="preserve">        Domestic</t>
  </si>
  <si>
    <t xml:space="preserve">        Presbytery &amp; Synod</t>
  </si>
  <si>
    <t>TOTAL PROGRAM COSTS</t>
  </si>
  <si>
    <t>TOTAL EXPENDITURES</t>
  </si>
  <si>
    <t>Page 4</t>
  </si>
  <si>
    <t>AUTHORIZED</t>
  </si>
  <si>
    <t>PAID</t>
  </si>
  <si>
    <t>PAYABLE</t>
  </si>
  <si>
    <t>MIDWEST TASK FORCE</t>
  </si>
  <si>
    <t>NORTHEAST TASK FORCE</t>
  </si>
  <si>
    <t>SOUTH TASK FORCE</t>
  </si>
  <si>
    <t>WEST TASK FORCE</t>
  </si>
  <si>
    <t>Page 6</t>
  </si>
  <si>
    <t xml:space="preserve">                Other Staff</t>
  </si>
  <si>
    <t>DETAIL COMPARISON OF ACTUAL EXPENDITURES TO BUDGET AS OF MARCH 31, 1999</t>
  </si>
  <si>
    <t xml:space="preserve">        Self Study Task Force</t>
  </si>
  <si>
    <t xml:space="preserve">        Other Meetings</t>
  </si>
  <si>
    <t xml:space="preserve">  Rescinded Projects</t>
  </si>
  <si>
    <t xml:space="preserve">                               P R O G R A M   C O S T S </t>
  </si>
  <si>
    <t xml:space="preserve">  OGHS (Allocated 32%)                                    </t>
  </si>
  <si>
    <t xml:space="preserve">        Director</t>
  </si>
  <si>
    <t xml:space="preserve">        Associate, Program Administration</t>
  </si>
  <si>
    <t xml:space="preserve">         Copy Expense</t>
  </si>
  <si>
    <t xml:space="preserve">         Postage</t>
  </si>
  <si>
    <t xml:space="preserve">         Telephone</t>
  </si>
  <si>
    <t xml:space="preserve">         Computer Hardware</t>
  </si>
  <si>
    <t xml:space="preserve">         Books &amp; Subscriptions</t>
  </si>
  <si>
    <t xml:space="preserve">         Other Committee Resources</t>
  </si>
  <si>
    <t xml:space="preserve">         Staff Career Development</t>
  </si>
  <si>
    <t xml:space="preserve">         Internet</t>
  </si>
  <si>
    <t xml:space="preserve">  Sale of Resources</t>
  </si>
  <si>
    <t>Northeast Task Force</t>
  </si>
  <si>
    <t>Midwest Task Force</t>
  </si>
  <si>
    <t>South Task Force</t>
  </si>
  <si>
    <t>West Task Force</t>
  </si>
  <si>
    <t>RESCINDED</t>
  </si>
  <si>
    <t>sub 4115</t>
  </si>
  <si>
    <t>sub 4070</t>
  </si>
  <si>
    <t>sub 4075</t>
  </si>
  <si>
    <t>sub 4060</t>
  </si>
  <si>
    <t>sub 4080</t>
  </si>
  <si>
    <t>sub 4085</t>
  </si>
  <si>
    <t>sub 4090</t>
  </si>
  <si>
    <t>Administrative Fees for Site Visits</t>
  </si>
  <si>
    <t>Page 7</t>
  </si>
  <si>
    <t>STATEMENT OF ACTIVITIES AND CHANGE IN NET ASSETS</t>
  </si>
  <si>
    <t>PNC Bank</t>
  </si>
  <si>
    <t>Presbyterian Investment Loan Program</t>
  </si>
  <si>
    <t>Advances/Prepaid Expenses</t>
  </si>
  <si>
    <t>Accounts Payable - Domestic Projects</t>
  </si>
  <si>
    <t>Accounts Payable - International Projects</t>
  </si>
  <si>
    <t xml:space="preserve">            ASSETS</t>
  </si>
  <si>
    <t xml:space="preserve"> </t>
  </si>
  <si>
    <t xml:space="preserve">  Realized &amp; Unrealized Net Gains (Losses)</t>
  </si>
  <si>
    <t xml:space="preserve">  Specific Designations</t>
  </si>
  <si>
    <t xml:space="preserve">                     Preliminary, Subject to Audit</t>
  </si>
  <si>
    <t>Actual</t>
  </si>
  <si>
    <t>DETAIL COMPARISON OF ACTUAL EXPENDITURES TO BUDGET</t>
  </si>
  <si>
    <t xml:space="preserve">         Membership Dues</t>
  </si>
  <si>
    <t xml:space="preserve">         Middle Governing Body Events/Training</t>
  </si>
  <si>
    <t>SOURCES OF FUNDING:</t>
  </si>
  <si>
    <t>INCREASE(DECREASE) IN NET ASSETS:</t>
  </si>
  <si>
    <t xml:space="preserve">  Program Resources/Training/Education</t>
  </si>
  <si>
    <t xml:space="preserve">     PROGRAM RES/TRAINING/EDUC</t>
  </si>
  <si>
    <t xml:space="preserve">  Interest Income &amp; Gain/Loss</t>
  </si>
  <si>
    <t xml:space="preserve">     TOTAL PROGRAM RESOURCES</t>
  </si>
  <si>
    <t>As % of</t>
  </si>
  <si>
    <t xml:space="preserve">  Interest Income - PNC Bank</t>
  </si>
  <si>
    <t xml:space="preserve">  Interest Income - PILP Investment</t>
  </si>
  <si>
    <t>Page 1</t>
  </si>
  <si>
    <t>836666/910023</t>
  </si>
  <si>
    <t xml:space="preserve">        Steering Committee</t>
  </si>
  <si>
    <t xml:space="preserve">  ECO's</t>
  </si>
  <si>
    <t xml:space="preserve">  PCF Endowments </t>
  </si>
  <si>
    <t>Page 3</t>
  </si>
  <si>
    <t>Accounts Payable - Accruals</t>
  </si>
  <si>
    <t>Prior Year</t>
  </si>
  <si>
    <t xml:space="preserve">         Office Supplies</t>
  </si>
  <si>
    <t xml:space="preserve">         Promotion</t>
  </si>
  <si>
    <t xml:space="preserve">       Salaries &amp; Benefits</t>
  </si>
  <si>
    <t>* Note - This amount includes   $67,384 Director support - Compassion, Peace and Justice</t>
  </si>
  <si>
    <t xml:space="preserve">         Community Outreach</t>
  </si>
  <si>
    <t xml:space="preserve">  Endowment Income </t>
  </si>
  <si>
    <t>STATEMENT OF FINANCIAL POSITION</t>
  </si>
  <si>
    <t xml:space="preserve">        Churchwide Relations Committee</t>
  </si>
  <si>
    <t xml:space="preserve">  Management Services </t>
  </si>
  <si>
    <t xml:space="preserve">        Community Relations Committee</t>
  </si>
  <si>
    <t xml:space="preserve">  Resource Sales (less cost of gds sold)</t>
  </si>
  <si>
    <t>through</t>
  </si>
  <si>
    <t>PROJECTS</t>
  </si>
  <si>
    <t>TOTAL INTERNATIONAL PROJECTS</t>
  </si>
  <si>
    <t xml:space="preserve">         Visioning &amp; Strategy</t>
  </si>
  <si>
    <t xml:space="preserve">         Contingency</t>
  </si>
  <si>
    <t>SI10001</t>
  </si>
  <si>
    <t>Receivable - PMA</t>
  </si>
  <si>
    <t>Accounts Payable - PMA</t>
  </si>
  <si>
    <t xml:space="preserve">  Other Gifts</t>
  </si>
  <si>
    <t xml:space="preserve">  Domestic Program *</t>
  </si>
  <si>
    <t xml:space="preserve">  International Program **</t>
  </si>
  <si>
    <t xml:space="preserve">  Management Services ***</t>
  </si>
  <si>
    <t xml:space="preserve">        Management Services***</t>
  </si>
  <si>
    <t>SI07007</t>
  </si>
  <si>
    <t>Small Scale Sustn Dvlp, West Africa Init, Sierra Leone&amp;Liberia</t>
  </si>
  <si>
    <t>Unrestricted Designated</t>
  </si>
  <si>
    <t>UNRESTRICTED DESIGNATED NET ASSETS:</t>
  </si>
  <si>
    <t xml:space="preserve">        Domestic * see note bottom of Inc Stmt</t>
  </si>
  <si>
    <t xml:space="preserve">        International  ** see note bottom of Inc Stmt</t>
  </si>
  <si>
    <t>2014 Projects</t>
  </si>
  <si>
    <t>TOTAL 2014 PROJECTS AUTHORIZED</t>
  </si>
  <si>
    <t>SELF DEVELOPMENT OF PEOPLE</t>
  </si>
  <si>
    <t xml:space="preserve">TOTAL DOMESTIC PROJECTS </t>
  </si>
  <si>
    <t>Year-End and Other Accrual</t>
  </si>
  <si>
    <t>SW13003</t>
  </si>
  <si>
    <t>2015 Projects</t>
  </si>
  <si>
    <t>TOTAL 2015 PROJECTS AUTHORIZED</t>
  </si>
  <si>
    <t>SN14010</t>
  </si>
  <si>
    <t>Asbury Park Statewide Organizing Cmte, NJ</t>
  </si>
  <si>
    <t>CE-MUJER, Dominican Republic</t>
  </si>
  <si>
    <t>LIABILITIES &amp; NET ASSETS</t>
  </si>
  <si>
    <t>SM15005</t>
  </si>
  <si>
    <t>Capital Park Women's Empwrmnt Proj, Columbus OH</t>
  </si>
  <si>
    <t>SN15007</t>
  </si>
  <si>
    <t>SN15014</t>
  </si>
  <si>
    <t>Providence Student Union,  RI</t>
  </si>
  <si>
    <t>ONE DC, Washington, DC</t>
  </si>
  <si>
    <t>Goat Herd Expansion, Tuscaloosa, AL</t>
  </si>
  <si>
    <t>SW15003</t>
  </si>
  <si>
    <t>SW15005</t>
  </si>
  <si>
    <t>SW15006</t>
  </si>
  <si>
    <t>Phat Beets Produce, Oakland CA</t>
  </si>
  <si>
    <t>Skills Development Project, Davis, CA</t>
  </si>
  <si>
    <t>SS15009</t>
  </si>
  <si>
    <t>Preliminary - Subject to Audit</t>
  </si>
  <si>
    <t>2016 Projects</t>
  </si>
  <si>
    <t>TOTAL 2016 PROJECTS AUTHORIZED</t>
  </si>
  <si>
    <t>SN15017</t>
  </si>
  <si>
    <t>Wayside Outreach &amp; Development Inc, Brooklyn, NY</t>
  </si>
  <si>
    <t>SW15008</t>
  </si>
  <si>
    <t>Indigenous Radio Station 94.1FM, Oxnard, CA</t>
  </si>
  <si>
    <t>Page 5</t>
  </si>
  <si>
    <t>SI13001</t>
  </si>
  <si>
    <t>Presbyterian Church of Rwanda</t>
  </si>
  <si>
    <t>SW16001</t>
  </si>
  <si>
    <t>SN15013</t>
  </si>
  <si>
    <t>Street Vendor Project, New York, NY</t>
  </si>
  <si>
    <t>SS16001</t>
  </si>
  <si>
    <t>Bolitas Harvesters Association, Immokalee, FL</t>
  </si>
  <si>
    <t xml:space="preserve">        Associate, Church/Communitywide Relations</t>
  </si>
  <si>
    <t xml:space="preserve">        Mission Specialist</t>
  </si>
  <si>
    <t>Multicult Allnc for a Safe Envir, Albuquerque NM pymt post 7/16</t>
  </si>
  <si>
    <t xml:space="preserve">  Oikocredit Dividend Income</t>
  </si>
  <si>
    <t xml:space="preserve">         Miscellaneous</t>
  </si>
  <si>
    <t>2017 Projects</t>
  </si>
  <si>
    <t>SN16002</t>
  </si>
  <si>
    <t>Brandworkers, Long Island City, NY</t>
  </si>
  <si>
    <t>SN16009</t>
  </si>
  <si>
    <t>Rochester Refugee Resettlement Svcs Inc, NY</t>
  </si>
  <si>
    <t>SS16006</t>
  </si>
  <si>
    <t>Youth on the Move, Pine Apple, AL</t>
  </si>
  <si>
    <t>SW17001</t>
  </si>
  <si>
    <t>Youth Rise Organizing Institute, Austin, TX</t>
  </si>
  <si>
    <t>TOTAL 2017 PROJECTS AUTHORIZED</t>
  </si>
  <si>
    <t>SI16004</t>
  </si>
  <si>
    <t>Barranco Fisher Folk Cooperative, Toledo, Belize</t>
  </si>
  <si>
    <t>SS16004</t>
  </si>
  <si>
    <t>Georgia Women in Agriculture Assn, Hampton, GA</t>
  </si>
  <si>
    <t>SW16006</t>
  </si>
  <si>
    <t>Popular Union of Street Vendors, Los Angeles, CA</t>
  </si>
  <si>
    <t>SW16007</t>
  </si>
  <si>
    <t xml:space="preserve">per the calculation at the bottom of the Domestic project sheet. </t>
  </si>
  <si>
    <t>per the calculation at the bottom of the International project sheet.</t>
  </si>
  <si>
    <t xml:space="preserve">     TOTAL REVENUE BEFORE ADJUSTMENTS</t>
  </si>
  <si>
    <t xml:space="preserve">            Less</t>
  </si>
  <si>
    <t xml:space="preserve">     SDOP program overhead allocation</t>
  </si>
  <si>
    <t xml:space="preserve">     TOTAL REVENUE AFTER ADJUSTMENTS</t>
  </si>
  <si>
    <t xml:space="preserve">  SDOP Overhead</t>
  </si>
  <si>
    <t>Q0127</t>
  </si>
  <si>
    <t>SM17007</t>
  </si>
  <si>
    <t>SN17002</t>
  </si>
  <si>
    <t>SS17001</t>
  </si>
  <si>
    <t>SS17002</t>
  </si>
  <si>
    <t>SS17004</t>
  </si>
  <si>
    <t>SS17006</t>
  </si>
  <si>
    <t>Broad Community Connections, New Orleans LA</t>
  </si>
  <si>
    <t>The Sounds of Joy Performing Arts Program, Albany, GA</t>
  </si>
  <si>
    <t>Strength to Love II, Baltimore, MD</t>
  </si>
  <si>
    <t>NorthWest Initiatives "ARRO" Lansing, MI</t>
  </si>
  <si>
    <t>Created to Create, Miami, FL</t>
  </si>
  <si>
    <t>Catawba, Rock Hill NC</t>
  </si>
  <si>
    <t>SI11003</t>
  </si>
  <si>
    <t>Sandy Beach Women's Cooperative Society Ltd, Hopkin Vill, Belize</t>
  </si>
  <si>
    <t>2018 DOMESTIC BUDGET</t>
  </si>
  <si>
    <t>2018 PROJECTS AUTHORIZED - Current year</t>
  </si>
  <si>
    <t>2018 REMAINING DOMESTIC BUDGET (Available to allocate)</t>
  </si>
  <si>
    <t>% OF DOMESTIC BUDGET BY REGION</t>
  </si>
  <si>
    <t xml:space="preserve">         AUTHORIZED PROJECTS - Current year</t>
  </si>
  <si>
    <t>Current Year</t>
  </si>
  <si>
    <t>invested at Foundation</t>
  </si>
  <si>
    <t>INTERNATIONAL BUDGET</t>
  </si>
  <si>
    <t>CURRENT YEAR AUTHORIZED PROJECTS</t>
  </si>
  <si>
    <t>CURRENT YEAR REMAINING BUDGET</t>
  </si>
  <si>
    <t>Community Tenants Association, San Francisco CA</t>
  </si>
  <si>
    <t>Southside Worker Canter, Tucson, AZ</t>
  </si>
  <si>
    <t xml:space="preserve">  Presbytery &amp; Synod Grants</t>
  </si>
  <si>
    <t>2018 Projects</t>
  </si>
  <si>
    <t>SM18001</t>
  </si>
  <si>
    <t>Street Vendors Assn of Chicago, IL</t>
  </si>
  <si>
    <t>SS17008</t>
  </si>
  <si>
    <t>New American Parent Support Group</t>
  </si>
  <si>
    <t>Nine Months Ended September 30, 2018</t>
  </si>
  <si>
    <t>STATUS OF DOMESTIC PROJECT PAYMENTS FOR THE PERIOD ENDED SEPTEMBER 30, 2018</t>
  </si>
  <si>
    <t>STATUS OF INTERNATIONAL PROJECT PAYMENTS FOR THE PERIOD ENDED SEPTEMBER 30, 2018</t>
  </si>
  <si>
    <t xml:space="preserve">        Rescinded Projects as of 9/30/18</t>
  </si>
  <si>
    <t>* The actual amount left in 2018 budget for Domestic as of September 30, 2018 is $227,000 for new commitments</t>
  </si>
  <si>
    <t>** The actual amount left in 2018 budget for International as of September 30, 2018 is $100,000 for new commitments</t>
  </si>
  <si>
    <t>Balance of Matilda Cartledge bequest as of 9/30/2018</t>
  </si>
  <si>
    <t>TOTAL 2018 PROJECTS AUTHORIZED</t>
  </si>
  <si>
    <t>SW18002</t>
  </si>
  <si>
    <t>SW18003</t>
  </si>
  <si>
    <t>Mixteco/Indigena Community Organizing Project, Oxnard, CA</t>
  </si>
  <si>
    <t>Hispanic Affairs Project, Montrose, CO (rescind $11,250 May)</t>
  </si>
  <si>
    <t>see note</t>
  </si>
  <si>
    <t>United Territories of Pacific Islanders Alliance Seattle, Auburn, WA</t>
  </si>
  <si>
    <t xml:space="preserve">*** Management Services $35,679 is Director support - Compassion, Peace and Justice </t>
  </si>
  <si>
    <t>SS17003</t>
  </si>
  <si>
    <t>SS17007</t>
  </si>
  <si>
    <t>SS17009</t>
  </si>
  <si>
    <t xml:space="preserve">  Oikocredit Interest/Dividend Income</t>
  </si>
  <si>
    <t>Fideicomiso de la Tierra del Cano Martin, San Juan, PR</t>
  </si>
  <si>
    <t>The Gainesville Health &amp; Wellness Ctr, AL</t>
  </si>
  <si>
    <t>Homes for All Nashville, TN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</si>
</sst>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mmmm\ d\,\ yyyy"/>
    <numFmt numFmtId="167" formatCode="0_);\(0\)"/>
    <numFmt numFmtId="168" formatCode="m/d/yyyy;@"/>
  </numFmts>
  <fonts count="72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name val="Helv"/>
    </font>
    <font>
      <sz val="10"/>
      <name val="Helv"/>
    </font>
    <font>
      <sz val="8"/>
      <name val="Helv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8"/>
      <name val="Arial"/>
      <family val="2"/>
    </font>
    <font>
      <b/>
      <sz val="8"/>
      <name val="Helv"/>
    </font>
    <font>
      <b/>
      <sz val="10"/>
      <name val="Swis721 BlkEx BT"/>
      <family val="2"/>
    </font>
    <font>
      <b/>
      <sz val="10"/>
      <name val="CG Times (W1)"/>
      <family val="1"/>
    </font>
    <font>
      <b/>
      <sz val="8"/>
      <name val="CG Times (W1)"/>
      <family val="1"/>
    </font>
    <font>
      <b/>
      <sz val="11"/>
      <name val="Helv"/>
    </font>
    <font>
      <sz val="10"/>
      <name val="CG Times (W1)"/>
      <family val="1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9"/>
      <name val="Arial"/>
      <family val="2"/>
    </font>
    <font>
      <b/>
      <sz val="10"/>
      <color indexed="14"/>
      <name val="Arial"/>
      <family val="2"/>
    </font>
    <font>
      <sz val="8"/>
      <color indexed="14"/>
      <name val="Arial"/>
      <family val="2"/>
    </font>
    <font>
      <sz val="8"/>
      <color indexed="14"/>
      <name val="Helv"/>
    </font>
    <font>
      <b/>
      <sz val="10"/>
      <color indexed="14"/>
      <name val="Helv"/>
    </font>
    <font>
      <sz val="10"/>
      <color indexed="14"/>
      <name val="Arial"/>
      <family val="2"/>
    </font>
    <font>
      <sz val="8"/>
      <color indexed="23"/>
      <name val="Arial"/>
      <family val="2"/>
    </font>
    <font>
      <sz val="8"/>
      <color indexed="9"/>
      <name val="Arial"/>
      <family val="2"/>
    </font>
    <font>
      <sz val="9"/>
      <color indexed="14"/>
      <name val="Arial"/>
      <family val="2"/>
    </font>
    <font>
      <b/>
      <i/>
      <sz val="8"/>
      <color indexed="14"/>
      <name val="Arial"/>
      <family val="2"/>
    </font>
    <font>
      <b/>
      <sz val="12"/>
      <color indexed="14"/>
      <name val="Arial"/>
      <family val="2"/>
    </font>
    <font>
      <b/>
      <sz val="10"/>
      <color indexed="9"/>
      <name val="Helv"/>
    </font>
    <font>
      <sz val="8"/>
      <color indexed="9"/>
      <name val="Helv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586">
    <xf numFmtId="0" fontId="0" fillId="0" borderId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16" borderId="1" applyNumberFormat="0" applyAlignment="0" applyProtection="0"/>
    <xf numFmtId="0" fontId="46" fillId="16" borderId="1" applyNumberFormat="0" applyAlignment="0" applyProtection="0"/>
    <xf numFmtId="0" fontId="46" fillId="16" borderId="1" applyNumberFormat="0" applyAlignment="0" applyProtection="0"/>
    <xf numFmtId="0" fontId="46" fillId="16" borderId="1" applyNumberFormat="0" applyAlignment="0" applyProtection="0"/>
    <xf numFmtId="0" fontId="46" fillId="16" borderId="1" applyNumberFormat="0" applyAlignment="0" applyProtection="0"/>
    <xf numFmtId="0" fontId="46" fillId="16" borderId="1" applyNumberFormat="0" applyAlignment="0" applyProtection="0"/>
    <xf numFmtId="0" fontId="46" fillId="16" borderId="1" applyNumberFormat="0" applyAlignment="0" applyProtection="0"/>
    <xf numFmtId="0" fontId="46" fillId="16" borderId="1" applyNumberFormat="0" applyAlignment="0" applyProtection="0"/>
    <xf numFmtId="0" fontId="46" fillId="16" borderId="1" applyNumberFormat="0" applyAlignment="0" applyProtection="0"/>
    <xf numFmtId="0" fontId="46" fillId="16" borderId="1" applyNumberFormat="0" applyAlignment="0" applyProtection="0"/>
    <xf numFmtId="0" fontId="46" fillId="16" borderId="1" applyNumberFormat="0" applyAlignment="0" applyProtection="0"/>
    <xf numFmtId="0" fontId="46" fillId="16" borderId="1" applyNumberFormat="0" applyAlignment="0" applyProtection="0"/>
    <xf numFmtId="0" fontId="46" fillId="16" borderId="1" applyNumberFormat="0" applyAlignment="0" applyProtection="0"/>
    <xf numFmtId="0" fontId="46" fillId="16" borderId="1" applyNumberFormat="0" applyAlignment="0" applyProtection="0"/>
    <xf numFmtId="0" fontId="46" fillId="16" borderId="1" applyNumberFormat="0" applyAlignment="0" applyProtection="0"/>
    <xf numFmtId="0" fontId="46" fillId="16" borderId="1" applyNumberFormat="0" applyAlignment="0" applyProtection="0"/>
    <xf numFmtId="0" fontId="46" fillId="16" borderId="1" applyNumberFormat="0" applyAlignment="0" applyProtection="0"/>
    <xf numFmtId="0" fontId="46" fillId="16" borderId="1" applyNumberFormat="0" applyAlignment="0" applyProtection="0"/>
    <xf numFmtId="0" fontId="46" fillId="16" borderId="1" applyNumberFormat="0" applyAlignment="0" applyProtection="0"/>
    <xf numFmtId="0" fontId="46" fillId="16" borderId="1" applyNumberFormat="0" applyAlignment="0" applyProtection="0"/>
    <xf numFmtId="0" fontId="46" fillId="16" borderId="1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0" fontId="47" fillId="17" borderId="2" applyNumberFormat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3" fillId="7" borderId="1" applyNumberFormat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4" fillId="0" borderId="6" applyNumberFormat="0" applyFill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7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7" fillId="0" borderId="0"/>
    <xf numFmtId="0" fontId="63" fillId="0" borderId="0"/>
    <xf numFmtId="0" fontId="62" fillId="0" borderId="0"/>
    <xf numFmtId="0" fontId="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7" fillId="0" borderId="0"/>
    <xf numFmtId="0" fontId="63" fillId="0" borderId="0"/>
    <xf numFmtId="0" fontId="62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3" fillId="0" borderId="0"/>
    <xf numFmtId="0" fontId="62" fillId="0" borderId="0"/>
    <xf numFmtId="0" fontId="62" fillId="0" borderId="0"/>
    <xf numFmtId="0" fontId="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7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7" fillId="0" borderId="0"/>
    <xf numFmtId="0" fontId="63" fillId="0" borderId="0"/>
    <xf numFmtId="0" fontId="62" fillId="0" borderId="0"/>
    <xf numFmtId="0" fontId="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7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2" fillId="0" borderId="0"/>
    <xf numFmtId="0" fontId="67" fillId="0" borderId="0"/>
    <xf numFmtId="0" fontId="67" fillId="0" borderId="0"/>
    <xf numFmtId="0" fontId="63" fillId="0" borderId="0"/>
    <xf numFmtId="0" fontId="62" fillId="0" borderId="0"/>
    <xf numFmtId="0" fontId="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2" fillId="0" borderId="0"/>
    <xf numFmtId="0" fontId="63" fillId="0" borderId="0"/>
    <xf numFmtId="0" fontId="62" fillId="0" borderId="0"/>
    <xf numFmtId="0" fontId="63" fillId="4" borderId="7" applyNumberFormat="0" applyFont="0" applyAlignment="0" applyProtection="0"/>
    <xf numFmtId="0" fontId="62" fillId="4" borderId="7" applyNumberFormat="0" applyFont="0" applyAlignment="0" applyProtection="0"/>
    <xf numFmtId="0" fontId="63" fillId="4" borderId="7" applyNumberFormat="0" applyFont="0" applyAlignment="0" applyProtection="0"/>
    <xf numFmtId="0" fontId="62" fillId="4" borderId="7" applyNumberFormat="0" applyFont="0" applyAlignment="0" applyProtection="0"/>
    <xf numFmtId="0" fontId="63" fillId="4" borderId="7" applyNumberFormat="0" applyFont="0" applyAlignment="0" applyProtection="0"/>
    <xf numFmtId="0" fontId="62" fillId="4" borderId="7" applyNumberFormat="0" applyFont="0" applyAlignment="0" applyProtection="0"/>
    <xf numFmtId="0" fontId="63" fillId="4" borderId="7" applyNumberFormat="0" applyFont="0" applyAlignment="0" applyProtection="0"/>
    <xf numFmtId="0" fontId="62" fillId="4" borderId="7" applyNumberFormat="0" applyFont="0" applyAlignment="0" applyProtection="0"/>
    <xf numFmtId="0" fontId="63" fillId="4" borderId="7" applyNumberFormat="0" applyFont="0" applyAlignment="0" applyProtection="0"/>
    <xf numFmtId="0" fontId="62" fillId="4" borderId="7" applyNumberFormat="0" applyFont="0" applyAlignment="0" applyProtection="0"/>
    <xf numFmtId="0" fontId="63" fillId="4" borderId="7" applyNumberFormat="0" applyFont="0" applyAlignment="0" applyProtection="0"/>
    <xf numFmtId="0" fontId="62" fillId="4" borderId="7" applyNumberFormat="0" applyFont="0" applyAlignment="0" applyProtection="0"/>
    <xf numFmtId="0" fontId="63" fillId="4" borderId="7" applyNumberFormat="0" applyFont="0" applyAlignment="0" applyProtection="0"/>
    <xf numFmtId="0" fontId="62" fillId="4" borderId="7" applyNumberFormat="0" applyFont="0" applyAlignment="0" applyProtection="0"/>
    <xf numFmtId="0" fontId="63" fillId="4" borderId="7" applyNumberFormat="0" applyFont="0" applyAlignment="0" applyProtection="0"/>
    <xf numFmtId="0" fontId="62" fillId="4" borderId="7" applyNumberFormat="0" applyFont="0" applyAlignment="0" applyProtection="0"/>
    <xf numFmtId="0" fontId="63" fillId="4" borderId="7" applyNumberFormat="0" applyFont="0" applyAlignment="0" applyProtection="0"/>
    <xf numFmtId="0" fontId="62" fillId="4" borderId="7" applyNumberFormat="0" applyFont="0" applyAlignment="0" applyProtection="0"/>
    <xf numFmtId="0" fontId="63" fillId="4" borderId="7" applyNumberFormat="0" applyFont="0" applyAlignment="0" applyProtection="0"/>
    <xf numFmtId="0" fontId="62" fillId="4" borderId="7" applyNumberFormat="0" applyFont="0" applyAlignment="0" applyProtection="0"/>
    <xf numFmtId="0" fontId="63" fillId="4" borderId="7" applyNumberFormat="0" applyFont="0" applyAlignment="0" applyProtection="0"/>
    <xf numFmtId="0" fontId="62" fillId="4" borderId="7" applyNumberFormat="0" applyFont="0" applyAlignment="0" applyProtection="0"/>
    <xf numFmtId="0" fontId="63" fillId="4" borderId="7" applyNumberFormat="0" applyFont="0" applyAlignment="0" applyProtection="0"/>
    <xf numFmtId="0" fontId="62" fillId="4" borderId="7" applyNumberFormat="0" applyFont="0" applyAlignment="0" applyProtection="0"/>
    <xf numFmtId="0" fontId="63" fillId="4" borderId="7" applyNumberFormat="0" applyFont="0" applyAlignment="0" applyProtection="0"/>
    <xf numFmtId="0" fontId="62" fillId="4" borderId="7" applyNumberFormat="0" applyFont="0" applyAlignment="0" applyProtection="0"/>
    <xf numFmtId="0" fontId="63" fillId="4" borderId="7" applyNumberFormat="0" applyFont="0" applyAlignment="0" applyProtection="0"/>
    <xf numFmtId="0" fontId="62" fillId="4" borderId="7" applyNumberFormat="0" applyFont="0" applyAlignment="0" applyProtection="0"/>
    <xf numFmtId="0" fontId="63" fillId="4" borderId="7" applyNumberFormat="0" applyFont="0" applyAlignment="0" applyProtection="0"/>
    <xf numFmtId="0" fontId="62" fillId="4" borderId="7" applyNumberFormat="0" applyFont="0" applyAlignment="0" applyProtection="0"/>
    <xf numFmtId="0" fontId="63" fillId="4" borderId="7" applyNumberFormat="0" applyFont="0" applyAlignment="0" applyProtection="0"/>
    <xf numFmtId="0" fontId="62" fillId="4" borderId="7" applyNumberFormat="0" applyFont="0" applyAlignment="0" applyProtection="0"/>
    <xf numFmtId="0" fontId="63" fillId="4" borderId="7" applyNumberFormat="0" applyFont="0" applyAlignment="0" applyProtection="0"/>
    <xf numFmtId="0" fontId="62" fillId="4" borderId="7" applyNumberFormat="0" applyFont="0" applyAlignment="0" applyProtection="0"/>
    <xf numFmtId="0" fontId="63" fillId="4" borderId="7" applyNumberFormat="0" applyFont="0" applyAlignment="0" applyProtection="0"/>
    <xf numFmtId="0" fontId="62" fillId="4" borderId="7" applyNumberFormat="0" applyFont="0" applyAlignment="0" applyProtection="0"/>
    <xf numFmtId="0" fontId="63" fillId="4" borderId="7" applyNumberFormat="0" applyFont="0" applyAlignment="0" applyProtection="0"/>
    <xf numFmtId="0" fontId="62" fillId="4" borderId="7" applyNumberFormat="0" applyFont="0" applyAlignment="0" applyProtection="0"/>
    <xf numFmtId="0" fontId="63" fillId="4" borderId="7" applyNumberFormat="0" applyFont="0" applyAlignment="0" applyProtection="0"/>
    <xf numFmtId="0" fontId="62" fillId="4" borderId="7" applyNumberFormat="0" applyFont="0" applyAlignment="0" applyProtection="0"/>
    <xf numFmtId="0" fontId="63" fillId="4" borderId="7" applyNumberFormat="0" applyFont="0" applyAlignment="0" applyProtection="0"/>
    <xf numFmtId="0" fontId="62" fillId="4" borderId="7" applyNumberFormat="0" applyFon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0" fontId="56" fillId="16" borderId="8" applyNumberFormat="0" applyAlignment="0" applyProtection="0"/>
    <xf numFmtId="9" fontId="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407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3" fontId="0" fillId="0" borderId="0" xfId="0" applyNumberFormat="1"/>
    <xf numFmtId="0" fontId="8" fillId="0" borderId="0" xfId="0" applyNumberFormat="1" applyFont="1"/>
    <xf numFmtId="3" fontId="8" fillId="0" borderId="0" xfId="0" applyNumberFormat="1" applyFont="1"/>
    <xf numFmtId="3" fontId="9" fillId="0" borderId="0" xfId="0" applyNumberFormat="1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3" fontId="12" fillId="0" borderId="0" xfId="0" applyNumberFormat="1" applyFont="1"/>
    <xf numFmtId="0" fontId="13" fillId="0" borderId="0" xfId="0" applyFont="1" applyBorder="1"/>
    <xf numFmtId="0" fontId="2" fillId="0" borderId="0" xfId="0" applyFont="1"/>
    <xf numFmtId="3" fontId="13" fillId="0" borderId="0" xfId="0" applyNumberFormat="1" applyFont="1"/>
    <xf numFmtId="0" fontId="13" fillId="0" borderId="0" xfId="0" applyFont="1"/>
    <xf numFmtId="3" fontId="13" fillId="0" borderId="0" xfId="0" applyNumberFormat="1" applyFont="1" applyBorder="1"/>
    <xf numFmtId="0" fontId="8" fillId="0" borderId="10" xfId="0" applyNumberFormat="1" applyFont="1" applyBorder="1" applyAlignment="1">
      <alignment horizontal="center"/>
    </xf>
    <xf numFmtId="0" fontId="12" fillId="0" borderId="0" xfId="0" applyFont="1" applyBorder="1"/>
    <xf numFmtId="0" fontId="8" fillId="0" borderId="0" xfId="0" applyFont="1"/>
    <xf numFmtId="0" fontId="14" fillId="0" borderId="0" xfId="0" applyFont="1"/>
    <xf numFmtId="14" fontId="0" fillId="0" borderId="0" xfId="0" applyNumberFormat="1"/>
    <xf numFmtId="0" fontId="0" fillId="0" borderId="0" xfId="0" applyBorder="1"/>
    <xf numFmtId="3" fontId="7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right"/>
    </xf>
    <xf numFmtId="0" fontId="15" fillId="0" borderId="0" xfId="0" applyNumberFormat="1" applyFont="1"/>
    <xf numFmtId="0" fontId="7" fillId="0" borderId="0" xfId="0" applyNumberFormat="1" applyFont="1"/>
    <xf numFmtId="14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center"/>
    </xf>
    <xf numFmtId="0" fontId="12" fillId="0" borderId="0" xfId="0" applyNumberFormat="1" applyFont="1"/>
    <xf numFmtId="0" fontId="7" fillId="0" borderId="10" xfId="0" applyNumberFormat="1" applyFont="1" applyBorder="1" applyAlignment="1">
      <alignment horizontal="center"/>
    </xf>
    <xf numFmtId="0" fontId="16" fillId="0" borderId="0" xfId="0" applyNumberFormat="1" applyFont="1" applyAlignment="1">
      <alignment horizontal="left"/>
    </xf>
    <xf numFmtId="0" fontId="16" fillId="0" borderId="0" xfId="0" applyNumberFormat="1" applyFont="1" applyAlignment="1">
      <alignment horizontal="center"/>
    </xf>
    <xf numFmtId="0" fontId="16" fillId="0" borderId="0" xfId="0" applyNumberFormat="1" applyFont="1"/>
    <xf numFmtId="0" fontId="9" fillId="0" borderId="0" xfId="0" applyFont="1"/>
    <xf numFmtId="14" fontId="8" fillId="0" borderId="10" xfId="0" applyNumberFormat="1" applyFont="1" applyBorder="1" applyAlignment="1">
      <alignment horizontal="center"/>
    </xf>
    <xf numFmtId="0" fontId="17" fillId="18" borderId="11" xfId="0" applyNumberFormat="1" applyFont="1" applyFill="1" applyBorder="1"/>
    <xf numFmtId="0" fontId="8" fillId="18" borderId="12" xfId="0" applyNumberFormat="1" applyFont="1" applyFill="1" applyBorder="1"/>
    <xf numFmtId="14" fontId="16" fillId="18" borderId="12" xfId="0" applyNumberFormat="1" applyFont="1" applyFill="1" applyBorder="1" applyAlignment="1">
      <alignment horizontal="center"/>
    </xf>
    <xf numFmtId="0" fontId="16" fillId="18" borderId="12" xfId="0" applyNumberFormat="1" applyFont="1" applyFill="1" applyBorder="1" applyAlignment="1">
      <alignment horizontal="center"/>
    </xf>
    <xf numFmtId="0" fontId="16" fillId="18" borderId="13" xfId="0" applyNumberFormat="1" applyFont="1" applyFill="1" applyBorder="1" applyAlignment="1">
      <alignment horizontal="center"/>
    </xf>
    <xf numFmtId="0" fontId="18" fillId="0" borderId="0" xfId="0" applyNumberFormat="1" applyFont="1"/>
    <xf numFmtId="10" fontId="16" fillId="0" borderId="14" xfId="0" applyNumberFormat="1" applyFont="1" applyBorder="1"/>
    <xf numFmtId="3" fontId="18" fillId="0" borderId="12" xfId="0" applyNumberFormat="1" applyFont="1" applyBorder="1"/>
    <xf numFmtId="3" fontId="18" fillId="0" borderId="13" xfId="0" applyNumberFormat="1" applyFont="1" applyBorder="1"/>
    <xf numFmtId="10" fontId="16" fillId="0" borderId="0" xfId="0" applyNumberFormat="1" applyFont="1"/>
    <xf numFmtId="0" fontId="9" fillId="0" borderId="0" xfId="0" applyNumberFormat="1" applyFont="1"/>
    <xf numFmtId="10" fontId="19" fillId="0" borderId="0" xfId="0" applyNumberFormat="1" applyFont="1"/>
    <xf numFmtId="3" fontId="18" fillId="0" borderId="0" xfId="0" applyNumberFormat="1" applyFont="1" applyBorder="1"/>
    <xf numFmtId="3" fontId="18" fillId="0" borderId="0" xfId="0" applyNumberFormat="1" applyFont="1"/>
    <xf numFmtId="3" fontId="18" fillId="0" borderId="10" xfId="0" applyNumberFormat="1" applyFont="1" applyBorder="1"/>
    <xf numFmtId="3" fontId="18" fillId="0" borderId="15" xfId="0" applyNumberFormat="1" applyFont="1" applyBorder="1"/>
    <xf numFmtId="3" fontId="18" fillId="0" borderId="16" xfId="0" applyNumberFormat="1" applyFont="1" applyBorder="1"/>
    <xf numFmtId="0" fontId="8" fillId="18" borderId="11" xfId="0" applyNumberFormat="1" applyFont="1" applyFill="1" applyBorder="1"/>
    <xf numFmtId="10" fontId="20" fillId="18" borderId="12" xfId="0" applyNumberFormat="1" applyFont="1" applyFill="1" applyBorder="1"/>
    <xf numFmtId="3" fontId="18" fillId="18" borderId="12" xfId="2233" applyNumberFormat="1" applyFont="1" applyFill="1" applyBorder="1"/>
    <xf numFmtId="3" fontId="18" fillId="18" borderId="13" xfId="2233" applyNumberFormat="1" applyFont="1" applyFill="1" applyBorder="1"/>
    <xf numFmtId="3" fontId="19" fillId="0" borderId="0" xfId="0" applyNumberFormat="1" applyFont="1"/>
    <xf numFmtId="0" fontId="17" fillId="18" borderId="11" xfId="0" applyFont="1" applyFill="1" applyBorder="1"/>
    <xf numFmtId="0" fontId="8" fillId="18" borderId="12" xfId="0" applyFont="1" applyFill="1" applyBorder="1"/>
    <xf numFmtId="3" fontId="19" fillId="18" borderId="12" xfId="0" applyNumberFormat="1" applyFont="1" applyFill="1" applyBorder="1"/>
    <xf numFmtId="3" fontId="19" fillId="18" borderId="13" xfId="0" applyNumberFormat="1" applyFont="1" applyFill="1" applyBorder="1"/>
    <xf numFmtId="3" fontId="18" fillId="0" borderId="11" xfId="0" applyNumberFormat="1" applyFont="1" applyBorder="1"/>
    <xf numFmtId="0" fontId="18" fillId="0" borderId="0" xfId="0" applyFont="1"/>
    <xf numFmtId="0" fontId="1" fillId="18" borderId="11" xfId="0" applyFont="1" applyFill="1" applyBorder="1"/>
    <xf numFmtId="10" fontId="7" fillId="18" borderId="12" xfId="0" applyNumberFormat="1" applyFont="1" applyFill="1" applyBorder="1"/>
    <xf numFmtId="3" fontId="18" fillId="18" borderId="12" xfId="0" applyNumberFormat="1" applyFont="1" applyFill="1" applyBorder="1"/>
    <xf numFmtId="3" fontId="18" fillId="18" borderId="13" xfId="0" applyNumberFormat="1" applyFont="1" applyFill="1" applyBorder="1"/>
    <xf numFmtId="3" fontId="21" fillId="0" borderId="0" xfId="0" applyNumberFormat="1" applyFont="1"/>
    <xf numFmtId="0" fontId="7" fillId="18" borderId="11" xfId="0" applyFont="1" applyFill="1" applyBorder="1"/>
    <xf numFmtId="0" fontId="7" fillId="0" borderId="0" xfId="0" applyFont="1" applyAlignment="1">
      <alignment horizontal="right"/>
    </xf>
    <xf numFmtId="0" fontId="7" fillId="0" borderId="0" xfId="0" applyNumberFormat="1" applyFont="1" applyAlignment="1">
      <alignment horizontal="right"/>
    </xf>
    <xf numFmtId="0" fontId="23" fillId="18" borderId="12" xfId="0" applyNumberFormat="1" applyFont="1" applyFill="1" applyBorder="1" applyAlignment="1">
      <alignment horizontal="center"/>
    </xf>
    <xf numFmtId="0" fontId="7" fillId="18" borderId="12" xfId="0" applyNumberFormat="1" applyFont="1" applyFill="1" applyBorder="1" applyAlignment="1">
      <alignment horizontal="right"/>
    </xf>
    <xf numFmtId="0" fontId="7" fillId="0" borderId="17" xfId="0" applyNumberFormat="1" applyFont="1" applyBorder="1" applyAlignment="1">
      <alignment horizontal="left"/>
    </xf>
    <xf numFmtId="3" fontId="7" fillId="18" borderId="12" xfId="0" applyNumberFormat="1" applyFont="1" applyFill="1" applyBorder="1"/>
    <xf numFmtId="0" fontId="7" fillId="0" borderId="17" xfId="0" applyFont="1" applyBorder="1"/>
    <xf numFmtId="0" fontId="7" fillId="0" borderId="0" xfId="0" applyNumberFormat="1" applyFont="1" applyBorder="1" applyAlignment="1">
      <alignment horizontal="center"/>
    </xf>
    <xf numFmtId="0" fontId="24" fillId="0" borderId="0" xfId="0" applyNumberFormat="1" applyFont="1" applyAlignment="1">
      <alignment horizontal="left"/>
    </xf>
    <xf numFmtId="0" fontId="24" fillId="0" borderId="0" xfId="0" applyFont="1"/>
    <xf numFmtId="0" fontId="8" fillId="0" borderId="0" xfId="0" applyNumberFormat="1" applyFont="1" applyAlignment="1">
      <alignment horizontal="left"/>
    </xf>
    <xf numFmtId="3" fontId="0" fillId="0" borderId="0" xfId="0" applyNumberFormat="1" applyAlignment="1">
      <alignment horizontal="center"/>
    </xf>
    <xf numFmtId="0" fontId="0" fillId="0" borderId="0" xfId="0" applyNumberFormat="1"/>
    <xf numFmtId="3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right"/>
    </xf>
    <xf numFmtId="0" fontId="8" fillId="0" borderId="0" xfId="0" applyFont="1" applyAlignment="1">
      <alignment horizontal="left"/>
    </xf>
    <xf numFmtId="3" fontId="8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1" fontId="23" fillId="18" borderId="12" xfId="0" applyNumberFormat="1" applyFont="1" applyFill="1" applyBorder="1" applyAlignment="1">
      <alignment horizontal="center"/>
    </xf>
    <xf numFmtId="0" fontId="7" fillId="18" borderId="11" xfId="0" applyFont="1" applyFill="1" applyBorder="1" applyAlignment="1">
      <alignment horizontal="left"/>
    </xf>
    <xf numFmtId="0" fontId="25" fillId="0" borderId="0" xfId="0" applyFont="1"/>
    <xf numFmtId="14" fontId="7" fillId="0" borderId="10" xfId="0" applyNumberFormat="1" applyFont="1" applyBorder="1" applyAlignment="1">
      <alignment horizontal="center"/>
    </xf>
    <xf numFmtId="0" fontId="7" fillId="18" borderId="11" xfId="0" applyNumberFormat="1" applyFont="1" applyFill="1" applyBorder="1"/>
    <xf numFmtId="49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1" fontId="12" fillId="0" borderId="0" xfId="0" applyNumberFormat="1" applyFont="1"/>
    <xf numFmtId="41" fontId="12" fillId="0" borderId="0" xfId="0" applyNumberFormat="1" applyFont="1" applyBorder="1"/>
    <xf numFmtId="41" fontId="7" fillId="0" borderId="0" xfId="0" applyNumberFormat="1" applyFont="1"/>
    <xf numFmtId="41" fontId="7" fillId="0" borderId="12" xfId="0" applyNumberFormat="1" applyFont="1" applyBorder="1"/>
    <xf numFmtId="42" fontId="12" fillId="0" borderId="0" xfId="2232" applyNumberFormat="1" applyFont="1" applyBorder="1"/>
    <xf numFmtId="41" fontId="0" fillId="0" borderId="0" xfId="0" applyNumberFormat="1"/>
    <xf numFmtId="0" fontId="22" fillId="0" borderId="0" xfId="0" applyNumberFormat="1" applyFont="1" applyAlignment="1">
      <alignment horizontal="center"/>
    </xf>
    <xf numFmtId="41" fontId="12" fillId="0" borderId="0" xfId="2232" applyNumberFormat="1" applyFont="1" applyBorder="1"/>
    <xf numFmtId="41" fontId="12" fillId="0" borderId="0" xfId="2232" applyNumberFormat="1" applyFont="1"/>
    <xf numFmtId="42" fontId="12" fillId="0" borderId="0" xfId="2232" applyNumberFormat="1" applyFont="1"/>
    <xf numFmtId="41" fontId="7" fillId="18" borderId="12" xfId="0" applyNumberFormat="1" applyFont="1" applyFill="1" applyBorder="1"/>
    <xf numFmtId="41" fontId="7" fillId="18" borderId="13" xfId="0" applyNumberFormat="1" applyFont="1" applyFill="1" applyBorder="1"/>
    <xf numFmtId="0" fontId="27" fillId="0" borderId="0" xfId="0" applyFont="1" applyBorder="1"/>
    <xf numFmtId="0" fontId="26" fillId="0" borderId="0" xfId="0" applyNumberFormat="1" applyFont="1" applyAlignment="1">
      <alignment horizontal="center"/>
    </xf>
    <xf numFmtId="41" fontId="7" fillId="0" borderId="0" xfId="0" applyNumberFormat="1" applyFont="1" applyFill="1"/>
    <xf numFmtId="3" fontId="28" fillId="0" borderId="0" xfId="0" applyNumberFormat="1" applyFont="1"/>
    <xf numFmtId="43" fontId="28" fillId="0" borderId="0" xfId="0" applyNumberFormat="1" applyFont="1"/>
    <xf numFmtId="3" fontId="28" fillId="0" borderId="0" xfId="0" applyNumberFormat="1" applyFont="1" applyFill="1"/>
    <xf numFmtId="0" fontId="28" fillId="0" borderId="0" xfId="0" applyFont="1"/>
    <xf numFmtId="0" fontId="28" fillId="0" borderId="0" xfId="0" applyFont="1" applyFill="1"/>
    <xf numFmtId="0" fontId="28" fillId="0" borderId="0" xfId="0" applyFont="1" applyBorder="1"/>
    <xf numFmtId="3" fontId="30" fillId="0" borderId="0" xfId="0" applyNumberFormat="1" applyFont="1" applyBorder="1"/>
    <xf numFmtId="3" fontId="30" fillId="0" borderId="0" xfId="0" applyNumberFormat="1" applyFont="1"/>
    <xf numFmtId="0" fontId="31" fillId="0" borderId="0" xfId="0" applyFont="1"/>
    <xf numFmtId="3" fontId="32" fillId="0" borderId="0" xfId="0" applyNumberFormat="1" applyFont="1"/>
    <xf numFmtId="0" fontId="30" fillId="0" borderId="0" xfId="0" applyFont="1"/>
    <xf numFmtId="3" fontId="33" fillId="0" borderId="0" xfId="0" applyNumberFormat="1" applyFont="1"/>
    <xf numFmtId="3" fontId="34" fillId="0" borderId="0" xfId="0" applyNumberFormat="1" applyFont="1"/>
    <xf numFmtId="41" fontId="12" fillId="0" borderId="0" xfId="2232" applyNumberFormat="1" applyFont="1" applyFill="1" applyBorder="1"/>
    <xf numFmtId="41" fontId="7" fillId="0" borderId="0" xfId="0" applyNumberFormat="1" applyFont="1" applyBorder="1"/>
    <xf numFmtId="43" fontId="29" fillId="0" borderId="0" xfId="0" applyNumberFormat="1" applyFont="1" applyAlignment="1">
      <alignment horizontal="center"/>
    </xf>
    <xf numFmtId="43" fontId="29" fillId="0" borderId="0" xfId="2232" applyFont="1"/>
    <xf numFmtId="3" fontId="7" fillId="0" borderId="0" xfId="0" applyNumberFormat="1" applyFont="1" applyFill="1"/>
    <xf numFmtId="3" fontId="7" fillId="0" borderId="0" xfId="0" applyNumberFormat="1" applyFont="1" applyFill="1" applyAlignment="1">
      <alignment horizontal="right"/>
    </xf>
    <xf numFmtId="41" fontId="7" fillId="0" borderId="0" xfId="0" applyNumberFormat="1" applyFont="1" applyFill="1" applyBorder="1"/>
    <xf numFmtId="3" fontId="23" fillId="0" borderId="0" xfId="0" applyNumberFormat="1" applyFont="1" applyFill="1" applyAlignment="1">
      <alignment horizontal="right"/>
    </xf>
    <xf numFmtId="41" fontId="23" fillId="0" borderId="0" xfId="0" applyNumberFormat="1" applyFont="1" applyFill="1" applyBorder="1"/>
    <xf numFmtId="3" fontId="7" fillId="18" borderId="12" xfId="0" applyNumberFormat="1" applyFont="1" applyFill="1" applyBorder="1" applyAlignment="1">
      <alignment horizontal="right"/>
    </xf>
    <xf numFmtId="0" fontId="24" fillId="0" borderId="0" xfId="0" applyNumberFormat="1" applyFont="1" applyFill="1" applyBorder="1" applyAlignment="1">
      <alignment horizontal="right"/>
    </xf>
    <xf numFmtId="0" fontId="7" fillId="0" borderId="20" xfId="0" applyFont="1" applyBorder="1"/>
    <xf numFmtId="0" fontId="27" fillId="0" borderId="0" xfId="0" applyFont="1"/>
    <xf numFmtId="43" fontId="31" fillId="0" borderId="0" xfId="2232" applyFont="1"/>
    <xf numFmtId="3" fontId="31" fillId="0" borderId="0" xfId="0" applyNumberFormat="1" applyFont="1"/>
    <xf numFmtId="3" fontId="28" fillId="0" borderId="0" xfId="0" applyNumberFormat="1" applyFont="1" applyBorder="1"/>
    <xf numFmtId="0" fontId="35" fillId="0" borderId="0" xfId="0" applyFont="1"/>
    <xf numFmtId="0" fontId="35" fillId="0" borderId="0" xfId="0" applyFont="1" applyFill="1"/>
    <xf numFmtId="3" fontId="27" fillId="0" borderId="0" xfId="0" applyNumberFormat="1" applyFont="1" applyBorder="1"/>
    <xf numFmtId="3" fontId="27" fillId="0" borderId="0" xfId="0" applyNumberFormat="1" applyFont="1"/>
    <xf numFmtId="0" fontId="37" fillId="0" borderId="0" xfId="0" applyFont="1"/>
    <xf numFmtId="165" fontId="28" fillId="0" borderId="0" xfId="2232" applyNumberFormat="1" applyFont="1"/>
    <xf numFmtId="43" fontId="31" fillId="0" borderId="0" xfId="2232" applyFont="1" applyFill="1"/>
    <xf numFmtId="41" fontId="30" fillId="0" borderId="0" xfId="0" applyNumberFormat="1" applyFont="1" applyFill="1"/>
    <xf numFmtId="43" fontId="31" fillId="0" borderId="0" xfId="0" applyNumberFormat="1" applyFont="1"/>
    <xf numFmtId="43" fontId="32" fillId="0" borderId="0" xfId="2232" applyFont="1"/>
    <xf numFmtId="41" fontId="39" fillId="0" borderId="0" xfId="0" applyNumberFormat="1" applyFont="1" applyFill="1" applyBorder="1"/>
    <xf numFmtId="41" fontId="30" fillId="0" borderId="0" xfId="0" applyNumberFormat="1" applyFont="1"/>
    <xf numFmtId="41" fontId="7" fillId="0" borderId="12" xfId="0" applyNumberFormat="1" applyFont="1" applyFill="1" applyBorder="1"/>
    <xf numFmtId="41" fontId="4" fillId="18" borderId="12" xfId="0" applyNumberFormat="1" applyFont="1" applyFill="1" applyBorder="1" applyAlignment="1">
      <alignment horizontal="center"/>
    </xf>
    <xf numFmtId="41" fontId="30" fillId="0" borderId="0" xfId="2232" applyNumberFormat="1" applyFont="1" applyFill="1"/>
    <xf numFmtId="41" fontId="7" fillId="0" borderId="0" xfId="0" applyNumberFormat="1" applyFont="1" applyAlignment="1">
      <alignment horizontal="right"/>
    </xf>
    <xf numFmtId="3" fontId="40" fillId="0" borderId="0" xfId="0" applyNumberFormat="1" applyFont="1"/>
    <xf numFmtId="3" fontId="4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41" fontId="15" fillId="18" borderId="12" xfId="0" applyNumberFormat="1" applyFont="1" applyFill="1" applyBorder="1" applyAlignment="1">
      <alignment horizontal="center"/>
    </xf>
    <xf numFmtId="41" fontId="1" fillId="0" borderId="0" xfId="2232" applyNumberFormat="1" applyFont="1" applyFill="1" applyBorder="1"/>
    <xf numFmtId="41" fontId="1" fillId="0" borderId="0" xfId="2232" applyNumberFormat="1" applyFont="1" applyBorder="1"/>
    <xf numFmtId="41" fontId="7" fillId="18" borderId="12" xfId="2233" applyNumberFormat="1" applyFont="1" applyFill="1" applyBorder="1"/>
    <xf numFmtId="41" fontId="15" fillId="0" borderId="0" xfId="0" applyNumberFormat="1" applyFont="1"/>
    <xf numFmtId="41" fontId="15" fillId="18" borderId="12" xfId="0" applyNumberFormat="1" applyFont="1" applyFill="1" applyBorder="1"/>
    <xf numFmtId="41" fontId="28" fillId="0" borderId="0" xfId="0" applyNumberFormat="1" applyFont="1" applyBorder="1"/>
    <xf numFmtId="0" fontId="29" fillId="0" borderId="0" xfId="0" applyFont="1" applyFill="1" applyBorder="1"/>
    <xf numFmtId="42" fontId="7" fillId="0" borderId="19" xfId="2232" applyNumberFormat="1" applyFont="1" applyBorder="1"/>
    <xf numFmtId="10" fontId="31" fillId="0" borderId="0" xfId="0" applyNumberFormat="1" applyFont="1"/>
    <xf numFmtId="41" fontId="29" fillId="0" borderId="0" xfId="0" applyNumberFormat="1" applyFont="1" applyFill="1"/>
    <xf numFmtId="3" fontId="7" fillId="0" borderId="0" xfId="0" applyNumberFormat="1" applyFont="1" applyFill="1" applyBorder="1" applyAlignment="1">
      <alignment horizontal="right"/>
    </xf>
    <xf numFmtId="3" fontId="23" fillId="0" borderId="0" xfId="0" applyNumberFormat="1" applyFont="1" applyFill="1" applyBorder="1" applyAlignment="1">
      <alignment horizontal="right"/>
    </xf>
    <xf numFmtId="0" fontId="23" fillId="0" borderId="0" xfId="0" applyNumberFormat="1" applyFont="1" applyFill="1" applyBorder="1"/>
    <xf numFmtId="0" fontId="12" fillId="0" borderId="0" xfId="0" applyNumberFormat="1" applyFont="1" applyBorder="1"/>
    <xf numFmtId="0" fontId="0" fillId="0" borderId="0" xfId="0" applyNumberFormat="1" applyAlignment="1">
      <alignment horizontal="center"/>
    </xf>
    <xf numFmtId="3" fontId="7" fillId="0" borderId="0" xfId="0" applyNumberFormat="1" applyFont="1" applyFill="1" applyAlignment="1">
      <alignment horizontal="left"/>
    </xf>
    <xf numFmtId="41" fontId="7" fillId="18" borderId="10" xfId="0" applyNumberFormat="1" applyFont="1" applyFill="1" applyBorder="1"/>
    <xf numFmtId="0" fontId="7" fillId="0" borderId="0" xfId="0" applyNumberFormat="1" applyFont="1" applyFill="1" applyBorder="1" applyAlignment="1">
      <alignment horizontal="right"/>
    </xf>
    <xf numFmtId="0" fontId="28" fillId="0" borderId="0" xfId="0" applyFont="1" applyFill="1" applyBorder="1"/>
    <xf numFmtId="0" fontId="28" fillId="0" borderId="12" xfId="0" applyFont="1" applyBorder="1"/>
    <xf numFmtId="3" fontId="28" fillId="0" borderId="12" xfId="0" applyNumberFormat="1" applyFont="1" applyBorder="1"/>
    <xf numFmtId="0" fontId="28" fillId="18" borderId="12" xfId="0" applyFont="1" applyFill="1" applyBorder="1"/>
    <xf numFmtId="0" fontId="7" fillId="0" borderId="0" xfId="0" applyNumberFormat="1" applyFont="1" applyFill="1" applyBorder="1"/>
    <xf numFmtId="0" fontId="13" fillId="0" borderId="0" xfId="0" applyFont="1" applyFill="1" applyBorder="1"/>
    <xf numFmtId="0" fontId="0" fillId="0" borderId="0" xfId="0" applyFill="1"/>
    <xf numFmtId="0" fontId="7" fillId="0" borderId="0" xfId="0" applyNumberFormat="1" applyFont="1" applyFill="1"/>
    <xf numFmtId="0" fontId="7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/>
    </xf>
    <xf numFmtId="42" fontId="12" fillId="0" borderId="0" xfId="2232" applyNumberFormat="1" applyFont="1" applyFill="1"/>
    <xf numFmtId="41" fontId="12" fillId="0" borderId="0" xfId="2232" applyNumberFormat="1" applyFont="1" applyFill="1"/>
    <xf numFmtId="41" fontId="12" fillId="0" borderId="10" xfId="2232" applyNumberFormat="1" applyFont="1" applyFill="1" applyBorder="1"/>
    <xf numFmtId="42" fontId="7" fillId="0" borderId="0" xfId="2232" applyNumberFormat="1" applyFont="1" applyFill="1" applyBorder="1"/>
    <xf numFmtId="42" fontId="12" fillId="0" borderId="0" xfId="2232" applyNumberFormat="1" applyFont="1" applyFill="1" applyBorder="1"/>
    <xf numFmtId="41" fontId="27" fillId="0" borderId="0" xfId="0" applyNumberFormat="1" applyFont="1" applyFill="1" applyBorder="1"/>
    <xf numFmtId="0" fontId="30" fillId="0" borderId="0" xfId="0" applyFont="1" applyFill="1" applyBorder="1"/>
    <xf numFmtId="0" fontId="13" fillId="0" borderId="0" xfId="0" applyFont="1" applyFill="1"/>
    <xf numFmtId="3" fontId="7" fillId="0" borderId="0" xfId="0" applyNumberFormat="1" applyFont="1" applyFill="1" applyBorder="1"/>
    <xf numFmtId="3" fontId="0" fillId="0" borderId="16" xfId="0" applyNumberFormat="1" applyBorder="1"/>
    <xf numFmtId="0" fontId="0" fillId="0" borderId="17" xfId="0" applyBorder="1"/>
    <xf numFmtId="41" fontId="4" fillId="0" borderId="0" xfId="0" applyNumberFormat="1" applyFont="1" applyAlignment="1">
      <alignment horizontal="center"/>
    </xf>
    <xf numFmtId="41" fontId="15" fillId="0" borderId="0" xfId="0" applyNumberFormat="1" applyFont="1" applyAlignment="1">
      <alignment horizontal="center"/>
    </xf>
    <xf numFmtId="41" fontId="3" fillId="0" borderId="0" xfId="0" applyNumberFormat="1" applyFont="1"/>
    <xf numFmtId="41" fontId="12" fillId="0" borderId="0" xfId="2233" applyNumberFormat="1" applyFont="1"/>
    <xf numFmtId="41" fontId="3" fillId="0" borderId="0" xfId="2233" applyNumberFormat="1" applyFont="1"/>
    <xf numFmtId="42" fontId="12" fillId="0" borderId="0" xfId="2233" applyNumberFormat="1" applyFont="1"/>
    <xf numFmtId="0" fontId="3" fillId="0" borderId="0" xfId="0" applyFont="1" applyBorder="1"/>
    <xf numFmtId="0" fontId="2" fillId="0" borderId="17" xfId="0" applyFont="1" applyFill="1" applyBorder="1" applyAlignment="1">
      <alignment horizontal="left"/>
    </xf>
    <xf numFmtId="49" fontId="2" fillId="0" borderId="0" xfId="0" applyNumberFormat="1" applyFont="1" applyFill="1" applyBorder="1"/>
    <xf numFmtId="0" fontId="2" fillId="18" borderId="11" xfId="0" applyFont="1" applyFill="1" applyBorder="1"/>
    <xf numFmtId="0" fontId="2" fillId="18" borderId="12" xfId="0" applyFont="1" applyFill="1" applyBorder="1"/>
    <xf numFmtId="0" fontId="2" fillId="0" borderId="0" xfId="0" applyFont="1" applyBorder="1"/>
    <xf numFmtId="41" fontId="2" fillId="0" borderId="0" xfId="0" applyNumberFormat="1" applyFont="1" applyBorder="1"/>
    <xf numFmtId="0" fontId="2" fillId="0" borderId="0" xfId="0" applyNumberFormat="1" applyFont="1"/>
    <xf numFmtId="0" fontId="2" fillId="18" borderId="11" xfId="0" applyNumberFormat="1" applyFont="1" applyFill="1" applyBorder="1" applyAlignment="1">
      <alignment horizontal="left"/>
    </xf>
    <xf numFmtId="41" fontId="2" fillId="0" borderId="0" xfId="0" applyNumberFormat="1" applyFont="1" applyFill="1" applyBorder="1"/>
    <xf numFmtId="0" fontId="2" fillId="0" borderId="17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NumberFormat="1" applyFont="1" applyFill="1" applyBorder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Border="1"/>
    <xf numFmtId="0" fontId="2" fillId="18" borderId="11" xfId="0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center"/>
    </xf>
    <xf numFmtId="41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0" fontId="7" fillId="0" borderId="0" xfId="0" applyFont="1" applyFill="1" applyBorder="1"/>
    <xf numFmtId="41" fontId="12" fillId="0" borderId="0" xfId="2233" applyNumberFormat="1" applyFont="1" applyBorder="1"/>
    <xf numFmtId="41" fontId="12" fillId="0" borderId="18" xfId="2233" applyNumberFormat="1" applyFont="1" applyBorder="1"/>
    <xf numFmtId="0" fontId="59" fillId="0" borderId="0" xfId="0" applyFont="1" applyFill="1"/>
    <xf numFmtId="41" fontId="59" fillId="0" borderId="0" xfId="0" applyNumberFormat="1" applyFont="1" applyFill="1"/>
    <xf numFmtId="0" fontId="60" fillId="0" borderId="0" xfId="0" applyFont="1" applyFill="1"/>
    <xf numFmtId="41" fontId="60" fillId="0" borderId="0" xfId="0" applyNumberFormat="1" applyFont="1" applyFill="1"/>
    <xf numFmtId="43" fontId="61" fillId="0" borderId="0" xfId="2232" applyFont="1"/>
    <xf numFmtId="0" fontId="12" fillId="0" borderId="0" xfId="0" applyFont="1" applyFill="1"/>
    <xf numFmtId="41" fontId="12" fillId="0" borderId="0" xfId="2233" applyNumberFormat="1" applyFont="1" applyFill="1"/>
    <xf numFmtId="38" fontId="27" fillId="0" borderId="0" xfId="0" applyNumberFormat="1" applyFont="1" applyFill="1"/>
    <xf numFmtId="0" fontId="27" fillId="0" borderId="0" xfId="0" applyNumberFormat="1" applyFont="1" applyFill="1"/>
    <xf numFmtId="0" fontId="27" fillId="0" borderId="0" xfId="0" applyFont="1" applyFill="1"/>
    <xf numFmtId="164" fontId="27" fillId="0" borderId="0" xfId="0" applyNumberFormat="1" applyFont="1" applyFill="1"/>
    <xf numFmtId="0" fontId="30" fillId="0" borderId="0" xfId="0" applyFont="1" applyFill="1"/>
    <xf numFmtId="43" fontId="61" fillId="19" borderId="0" xfId="2232" applyFont="1" applyFill="1"/>
    <xf numFmtId="41" fontId="7" fillId="0" borderId="0" xfId="2233" applyNumberFormat="1" applyFont="1" applyFill="1"/>
    <xf numFmtId="3" fontId="23" fillId="18" borderId="22" xfId="0" applyNumberFormat="1" applyFont="1" applyFill="1" applyBorder="1"/>
    <xf numFmtId="3" fontId="23" fillId="18" borderId="23" xfId="0" applyNumberFormat="1" applyFont="1" applyFill="1" applyBorder="1"/>
    <xf numFmtId="41" fontId="23" fillId="18" borderId="23" xfId="0" applyNumberFormat="1" applyFont="1" applyFill="1" applyBorder="1"/>
    <xf numFmtId="0" fontId="64" fillId="0" borderId="0" xfId="0" applyFont="1"/>
    <xf numFmtId="9" fontId="1" fillId="18" borderId="13" xfId="3394" applyFont="1" applyFill="1" applyBorder="1" applyAlignment="1">
      <alignment horizontal="center"/>
    </xf>
    <xf numFmtId="9" fontId="1" fillId="0" borderId="12" xfId="3394" applyFont="1" applyFill="1" applyBorder="1" applyAlignment="1">
      <alignment horizontal="center"/>
    </xf>
    <xf numFmtId="9" fontId="1" fillId="0" borderId="0" xfId="3394" applyFont="1" applyFill="1" applyBorder="1" applyAlignment="1">
      <alignment horizontal="center"/>
    </xf>
    <xf numFmtId="9" fontId="1" fillId="0" borderId="0" xfId="3394" applyFont="1" applyAlignment="1">
      <alignment horizontal="center"/>
    </xf>
    <xf numFmtId="9" fontId="1" fillId="0" borderId="12" xfId="3394" applyFont="1" applyBorder="1" applyAlignment="1">
      <alignment horizontal="center"/>
    </xf>
    <xf numFmtId="9" fontId="1" fillId="0" borderId="0" xfId="3394" applyFont="1" applyBorder="1" applyAlignment="1">
      <alignment horizontal="center"/>
    </xf>
    <xf numFmtId="9" fontId="30" fillId="0" borderId="0" xfId="3394" applyFont="1" applyAlignment="1">
      <alignment horizontal="center"/>
    </xf>
    <xf numFmtId="9" fontId="65" fillId="0" borderId="0" xfId="3394" applyFont="1" applyAlignment="1">
      <alignment horizontal="right"/>
    </xf>
    <xf numFmtId="0" fontId="1" fillId="18" borderId="12" xfId="0" applyFont="1" applyFill="1" applyBorder="1"/>
    <xf numFmtId="9" fontId="1" fillId="0" borderId="0" xfId="0" applyNumberFormat="1" applyFont="1" applyAlignment="1">
      <alignment horizontal="center"/>
    </xf>
    <xf numFmtId="3" fontId="0" fillId="0" borderId="0" xfId="0" applyNumberFormat="1" applyFill="1"/>
    <xf numFmtId="37" fontId="0" fillId="0" borderId="16" xfId="0" applyNumberFormat="1" applyFill="1" applyBorder="1"/>
    <xf numFmtId="0" fontId="28" fillId="18" borderId="18" xfId="0" applyFont="1" applyFill="1" applyBorder="1"/>
    <xf numFmtId="0" fontId="28" fillId="0" borderId="18" xfId="0" applyFont="1" applyBorder="1"/>
    <xf numFmtId="0" fontId="1" fillId="0" borderId="0" xfId="0" applyNumberFormat="1" applyFont="1"/>
    <xf numFmtId="9" fontId="66" fillId="0" borderId="0" xfId="3394" applyFont="1" applyFill="1"/>
    <xf numFmtId="0" fontId="7" fillId="0" borderId="0" xfId="0" applyNumberFormat="1" applyFont="1" applyFill="1" applyAlignment="1">
      <alignment horizontal="center"/>
    </xf>
    <xf numFmtId="9" fontId="11" fillId="0" borderId="0" xfId="3394" applyFont="1" applyFill="1"/>
    <xf numFmtId="0" fontId="36" fillId="0" borderId="0" xfId="0" applyFont="1" applyFill="1"/>
    <xf numFmtId="0" fontId="11" fillId="0" borderId="0" xfId="0" applyFont="1" applyFill="1"/>
    <xf numFmtId="49" fontId="7" fillId="0" borderId="0" xfId="0" applyNumberFormat="1" applyFont="1" applyFill="1" applyAlignment="1">
      <alignment horizontal="center"/>
    </xf>
    <xf numFmtId="166" fontId="7" fillId="0" borderId="0" xfId="0" applyNumberFormat="1" applyFont="1" applyFill="1" applyAlignment="1">
      <alignment horizontal="center"/>
    </xf>
    <xf numFmtId="0" fontId="15" fillId="0" borderId="0" xfId="0" applyNumberFormat="1" applyFont="1" applyFill="1"/>
    <xf numFmtId="0" fontId="15" fillId="0" borderId="0" xfId="0" applyNumberFormat="1" applyFont="1" applyFill="1" applyBorder="1" applyAlignment="1">
      <alignment horizontal="center"/>
    </xf>
    <xf numFmtId="0" fontId="3" fillId="0" borderId="0" xfId="0" applyFont="1" applyFill="1"/>
    <xf numFmtId="14" fontId="7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Alignment="1">
      <alignment horizontal="right"/>
    </xf>
    <xf numFmtId="3" fontId="12" fillId="0" borderId="10" xfId="0" applyNumberFormat="1" applyFont="1" applyFill="1" applyBorder="1" applyAlignment="1">
      <alignment horizontal="center"/>
    </xf>
    <xf numFmtId="0" fontId="12" fillId="0" borderId="0" xfId="0" applyNumberFormat="1" applyFont="1" applyFill="1"/>
    <xf numFmtId="3" fontId="7" fillId="0" borderId="0" xfId="0" applyNumberFormat="1" applyFont="1" applyFill="1" applyAlignment="1">
      <alignment horizontal="center"/>
    </xf>
    <xf numFmtId="37" fontId="0" fillId="0" borderId="0" xfId="0" applyNumberFormat="1" applyFill="1"/>
    <xf numFmtId="3" fontId="2" fillId="0" borderId="0" xfId="0" applyNumberFormat="1" applyFont="1" applyFill="1"/>
    <xf numFmtId="3" fontId="13" fillId="0" borderId="0" xfId="0" applyNumberFormat="1" applyFont="1" applyFill="1"/>
    <xf numFmtId="0" fontId="2" fillId="0" borderId="0" xfId="0" applyNumberFormat="1" applyFont="1" applyFill="1"/>
    <xf numFmtId="41" fontId="12" fillId="0" borderId="0" xfId="2232" applyNumberFormat="1" applyFont="1" applyFill="1" applyBorder="1" applyAlignment="1">
      <alignment horizontal="right"/>
    </xf>
    <xf numFmtId="0" fontId="27" fillId="0" borderId="0" xfId="0" applyFont="1" applyFill="1" applyBorder="1"/>
    <xf numFmtId="42" fontId="7" fillId="0" borderId="0" xfId="2232" applyNumberFormat="1" applyFont="1" applyFill="1" applyBorder="1" applyAlignment="1">
      <alignment horizontal="center"/>
    </xf>
    <xf numFmtId="41" fontId="28" fillId="0" borderId="0" xfId="0" applyNumberFormat="1" applyFont="1" applyFill="1" applyBorder="1"/>
    <xf numFmtId="3" fontId="12" fillId="0" borderId="0" xfId="0" applyNumberFormat="1" applyFont="1" applyFill="1" applyBorder="1"/>
    <xf numFmtId="3" fontId="27" fillId="0" borderId="0" xfId="0" applyNumberFormat="1" applyFont="1" applyFill="1" applyBorder="1"/>
    <xf numFmtId="42" fontId="27" fillId="0" borderId="0" xfId="0" applyNumberFormat="1" applyFont="1" applyFill="1" applyBorder="1"/>
    <xf numFmtId="41" fontId="2" fillId="0" borderId="0" xfId="2232" applyNumberFormat="1" applyFont="1" applyFill="1"/>
    <xf numFmtId="165" fontId="27" fillId="0" borderId="0" xfId="2232" applyNumberFormat="1" applyFont="1" applyFill="1" applyBorder="1"/>
    <xf numFmtId="42" fontId="7" fillId="0" borderId="12" xfId="2232" applyNumberFormat="1" applyFont="1" applyFill="1" applyBorder="1"/>
    <xf numFmtId="41" fontId="12" fillId="0" borderId="0" xfId="0" applyNumberFormat="1" applyFont="1" applyFill="1" applyBorder="1"/>
    <xf numFmtId="41" fontId="27" fillId="0" borderId="0" xfId="0" applyNumberFormat="1" applyFont="1" applyFill="1"/>
    <xf numFmtId="42" fontId="7" fillId="0" borderId="24" xfId="2232" applyNumberFormat="1" applyFont="1" applyFill="1" applyBorder="1"/>
    <xf numFmtId="3" fontId="30" fillId="0" borderId="0" xfId="0" applyNumberFormat="1" applyFont="1" applyFill="1" applyBorder="1"/>
    <xf numFmtId="3" fontId="42" fillId="0" borderId="0" xfId="0" applyNumberFormat="1" applyFont="1" applyFill="1" applyBorder="1"/>
    <xf numFmtId="0" fontId="1" fillId="0" borderId="0" xfId="0" applyFont="1" applyFill="1"/>
    <xf numFmtId="0" fontId="7" fillId="0" borderId="0" xfId="0" applyFont="1" applyFill="1" applyBorder="1" applyAlignment="1">
      <alignment horizontal="right"/>
    </xf>
    <xf numFmtId="3" fontId="1" fillId="18" borderId="12" xfId="0" applyNumberFormat="1" applyFont="1" applyFill="1" applyBorder="1"/>
    <xf numFmtId="3" fontId="1" fillId="0" borderId="0" xfId="0" applyNumberFormat="1" applyFont="1" applyFill="1" applyAlignment="1">
      <alignment horizontal="right"/>
    </xf>
    <xf numFmtId="41" fontId="7" fillId="0" borderId="0" xfId="2232" applyNumberFormat="1" applyFont="1" applyFill="1" applyBorder="1"/>
    <xf numFmtId="41" fontId="1" fillId="0" borderId="0" xfId="0" applyNumberFormat="1" applyFont="1" applyAlignment="1">
      <alignment horizontal="right"/>
    </xf>
    <xf numFmtId="3" fontId="0" fillId="0" borderId="19" xfId="0" applyNumberFormat="1" applyBorder="1"/>
    <xf numFmtId="42" fontId="2" fillId="0" borderId="0" xfId="2233" applyNumberFormat="1" applyFont="1"/>
    <xf numFmtId="42" fontId="12" fillId="0" borderId="19" xfId="2233" applyNumberFormat="1" applyFont="1" applyBorder="1"/>
    <xf numFmtId="41" fontId="12" fillId="0" borderId="18" xfId="2233" applyNumberFormat="1" applyFont="1" applyFill="1" applyBorder="1"/>
    <xf numFmtId="41" fontId="2" fillId="0" borderId="0" xfId="2232" applyNumberFormat="1" applyFont="1" applyFill="1" applyBorder="1"/>
    <xf numFmtId="0" fontId="38" fillId="0" borderId="0" xfId="0" applyNumberFormat="1" applyFont="1" applyFill="1" applyAlignment="1">
      <alignment horizontal="center"/>
    </xf>
    <xf numFmtId="42" fontId="0" fillId="0" borderId="0" xfId="0" applyNumberFormat="1" applyFill="1"/>
    <xf numFmtId="41" fontId="12" fillId="0" borderId="0" xfId="2233" applyNumberFormat="1" applyFont="1" applyFill="1" applyBorder="1"/>
    <xf numFmtId="37" fontId="0" fillId="0" borderId="18" xfId="0" applyNumberFormat="1" applyFill="1" applyBorder="1"/>
    <xf numFmtId="42" fontId="12" fillId="0" borderId="19" xfId="2233" applyNumberFormat="1" applyFont="1" applyFill="1" applyBorder="1"/>
    <xf numFmtId="41" fontId="0" fillId="0" borderId="0" xfId="0" applyNumberFormat="1" applyFill="1"/>
    <xf numFmtId="0" fontId="1" fillId="0" borderId="0" xfId="0" applyNumberFormat="1" applyFont="1" applyAlignment="1">
      <alignment horizontal="center"/>
    </xf>
    <xf numFmtId="168" fontId="7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1" fontId="1" fillId="0" borderId="0" xfId="0" applyNumberFormat="1" applyFont="1" applyFill="1"/>
    <xf numFmtId="41" fontId="2" fillId="0" borderId="16" xfId="0" applyNumberFormat="1" applyFont="1" applyBorder="1"/>
    <xf numFmtId="2" fontId="1" fillId="20" borderId="25" xfId="0" applyNumberFormat="1" applyFont="1" applyFill="1" applyBorder="1" applyAlignment="1">
      <alignment horizontal="center"/>
    </xf>
    <xf numFmtId="41" fontId="28" fillId="18" borderId="12" xfId="0" applyNumberFormat="1" applyFont="1" applyFill="1" applyBorder="1"/>
    <xf numFmtId="0" fontId="0" fillId="0" borderId="0" xfId="0"/>
    <xf numFmtId="0" fontId="0" fillId="0" borderId="0" xfId="0"/>
    <xf numFmtId="0" fontId="23" fillId="18" borderId="11" xfId="0" applyNumberFormat="1" applyFont="1" applyFill="1" applyBorder="1"/>
    <xf numFmtId="0" fontId="24" fillId="18" borderId="12" xfId="0" applyNumberFormat="1" applyFont="1" applyFill="1" applyBorder="1" applyAlignment="1">
      <alignment horizontal="right"/>
    </xf>
    <xf numFmtId="41" fontId="23" fillId="18" borderId="12" xfId="0" applyNumberFormat="1" applyFont="1" applyFill="1" applyBorder="1"/>
    <xf numFmtId="0" fontId="0" fillId="21" borderId="0" xfId="0" applyFill="1"/>
    <xf numFmtId="0" fontId="13" fillId="21" borderId="0" xfId="0" applyFont="1" applyFill="1" applyBorder="1"/>
    <xf numFmtId="0" fontId="13" fillId="21" borderId="0" xfId="0" applyFont="1" applyFill="1"/>
    <xf numFmtId="0" fontId="7" fillId="0" borderId="0" xfId="0" applyFont="1" applyFill="1" applyAlignment="1">
      <alignment horizontal="center"/>
    </xf>
    <xf numFmtId="41" fontId="7" fillId="0" borderId="10" xfId="0" applyNumberFormat="1" applyFont="1" applyFill="1" applyBorder="1"/>
    <xf numFmtId="41" fontId="7" fillId="0" borderId="19" xfId="0" applyNumberFormat="1" applyFont="1" applyFill="1" applyBorder="1"/>
    <xf numFmtId="0" fontId="15" fillId="0" borderId="0" xfId="0" applyNumberFormat="1" applyFont="1" applyFill="1" applyAlignment="1">
      <alignment horizontal="center"/>
    </xf>
    <xf numFmtId="167" fontId="65" fillId="0" borderId="21" xfId="3259" applyNumberFormat="1" applyFont="1" applyBorder="1" applyAlignment="1">
      <alignment horizontal="center" vertical="center"/>
    </xf>
    <xf numFmtId="41" fontId="4" fillId="18" borderId="25" xfId="0" applyNumberFormat="1" applyFont="1" applyFill="1" applyBorder="1" applyAlignment="1">
      <alignment horizontal="center"/>
    </xf>
    <xf numFmtId="41" fontId="7" fillId="18" borderId="25" xfId="0" applyNumberFormat="1" applyFont="1" applyFill="1" applyBorder="1"/>
    <xf numFmtId="9" fontId="0" fillId="0" borderId="0" xfId="0" applyNumberFormat="1" applyFill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Fill="1" applyBorder="1"/>
    <xf numFmtId="43" fontId="61" fillId="0" borderId="0" xfId="2232" applyFont="1" applyFill="1"/>
    <xf numFmtId="43" fontId="31" fillId="0" borderId="0" xfId="0" applyNumberFormat="1" applyFont="1" applyFill="1"/>
    <xf numFmtId="0" fontId="2" fillId="0" borderId="0" xfId="0" applyNumberFormat="1" applyFont="1" applyFill="1" applyBorder="1" applyAlignment="1">
      <alignment horizontal="right"/>
    </xf>
    <xf numFmtId="41" fontId="7" fillId="0" borderId="16" xfId="0" applyNumberFormat="1" applyFont="1" applyFill="1" applyBorder="1"/>
    <xf numFmtId="41" fontId="2" fillId="0" borderId="16" xfId="0" applyNumberFormat="1" applyFont="1" applyFill="1" applyBorder="1"/>
    <xf numFmtId="0" fontId="0" fillId="0" borderId="0" xfId="0"/>
    <xf numFmtId="0" fontId="0" fillId="0" borderId="0" xfId="0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41" fontId="2" fillId="0" borderId="0" xfId="2233" applyNumberFormat="1" applyFont="1"/>
    <xf numFmtId="0" fontId="0" fillId="0" borderId="0" xfId="0"/>
    <xf numFmtId="0" fontId="0" fillId="0" borderId="0" xfId="0"/>
    <xf numFmtId="0" fontId="0" fillId="0" borderId="0" xfId="0"/>
    <xf numFmtId="37" fontId="0" fillId="0" borderId="0" xfId="0" applyNumberFormat="1"/>
    <xf numFmtId="0" fontId="0" fillId="0" borderId="0" xfId="0"/>
    <xf numFmtId="0" fontId="0" fillId="0" borderId="0" xfId="0"/>
    <xf numFmtId="41" fontId="68" fillId="0" borderId="0" xfId="0" applyNumberFormat="1" applyFont="1" applyFill="1"/>
    <xf numFmtId="0" fontId="5" fillId="0" borderId="0" xfId="0" applyFont="1" applyFill="1"/>
    <xf numFmtId="0" fontId="0" fillId="0" borderId="0" xfId="0"/>
    <xf numFmtId="0" fontId="1" fillId="0" borderId="18" xfId="0" applyFont="1" applyFill="1" applyBorder="1"/>
    <xf numFmtId="0" fontId="1" fillId="0" borderId="10" xfId="0" applyFont="1" applyFill="1" applyBorder="1"/>
    <xf numFmtId="0" fontId="7" fillId="0" borderId="10" xfId="0" applyNumberFormat="1" applyFont="1" applyFill="1" applyBorder="1" applyAlignment="1">
      <alignment horizontal="right"/>
    </xf>
    <xf numFmtId="41" fontId="7" fillId="0" borderId="15" xfId="0" applyNumberFormat="1" applyFont="1" applyFill="1" applyBorder="1"/>
    <xf numFmtId="0" fontId="0" fillId="0" borderId="0" xfId="0"/>
    <xf numFmtId="0" fontId="0" fillId="0" borderId="0" xfId="0"/>
    <xf numFmtId="3" fontId="1" fillId="0" borderId="0" xfId="0" applyNumberFormat="1" applyFont="1" applyFill="1" applyBorder="1"/>
    <xf numFmtId="41" fontId="1" fillId="0" borderId="0" xfId="0" applyNumberFormat="1" applyFont="1" applyFill="1" applyBorder="1"/>
    <xf numFmtId="0" fontId="4" fillId="0" borderId="0" xfId="0" applyNumberFormat="1" applyFont="1" applyFill="1"/>
    <xf numFmtId="14" fontId="1" fillId="0" borderId="0" xfId="0" applyNumberFormat="1" applyFont="1" applyFill="1" applyBorder="1" applyAlignment="1">
      <alignment horizontal="center"/>
    </xf>
    <xf numFmtId="42" fontId="1" fillId="0" borderId="0" xfId="2232" applyNumberFormat="1" applyFont="1" applyFill="1" applyBorder="1"/>
    <xf numFmtId="42" fontId="1" fillId="0" borderId="0" xfId="2232" applyNumberFormat="1" applyFont="1" applyFill="1" applyBorder="1" applyAlignment="1">
      <alignment horizontal="center"/>
    </xf>
    <xf numFmtId="0" fontId="69" fillId="0" borderId="0" xfId="2843" applyFont="1" applyFill="1" applyAlignment="1">
      <alignment horizontal="left" vertical="center"/>
    </xf>
    <xf numFmtId="42" fontId="1" fillId="0" borderId="26" xfId="2232" applyNumberFormat="1" applyFont="1" applyFill="1" applyBorder="1"/>
    <xf numFmtId="41" fontId="2" fillId="0" borderId="0" xfId="2232" applyNumberFormat="1" applyFont="1" applyBorder="1"/>
    <xf numFmtId="41" fontId="2" fillId="0" borderId="0" xfId="2232" applyNumberFormat="1" applyFont="1"/>
    <xf numFmtId="0" fontId="65" fillId="0" borderId="0" xfId="2843" applyNumberFormat="1" applyFont="1" applyFill="1" applyBorder="1" applyAlignment="1" applyProtection="1"/>
    <xf numFmtId="5" fontId="1" fillId="0" borderId="0" xfId="0" applyNumberFormat="1" applyFont="1" applyFill="1" applyBorder="1"/>
    <xf numFmtId="0" fontId="4" fillId="0" borderId="0" xfId="0" applyFont="1" applyFill="1"/>
    <xf numFmtId="0" fontId="0" fillId="0" borderId="0" xfId="0"/>
    <xf numFmtId="0" fontId="2" fillId="0" borderId="0" xfId="0" applyFont="1" applyAlignment="1">
      <alignment horizontal="center"/>
    </xf>
    <xf numFmtId="5" fontId="1" fillId="0" borderId="24" xfId="0" applyNumberFormat="1" applyFont="1" applyFill="1" applyBorder="1"/>
    <xf numFmtId="5" fontId="1" fillId="0" borderId="27" xfId="0" applyNumberFormat="1" applyFont="1" applyFill="1" applyBorder="1"/>
    <xf numFmtId="37" fontId="2" fillId="21" borderId="16" xfId="0" applyNumberFormat="1" applyFont="1" applyFill="1" applyBorder="1"/>
    <xf numFmtId="0" fontId="7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6" fontId="1" fillId="0" borderId="0" xfId="0" applyNumberFormat="1" applyFont="1" applyFill="1" applyAlignment="1">
      <alignment horizontal="center"/>
    </xf>
    <xf numFmtId="166" fontId="70" fillId="0" borderId="0" xfId="0" applyNumberFormat="1" applyFont="1" applyFill="1" applyAlignment="1">
      <alignment horizontal="center"/>
    </xf>
    <xf numFmtId="0" fontId="71" fillId="0" borderId="0" xfId="0" applyFont="1" applyAlignment="1">
      <alignment horizontal="center"/>
    </xf>
    <xf numFmtId="0" fontId="0" fillId="0" borderId="0" xfId="0"/>
    <xf numFmtId="0" fontId="70" fillId="0" borderId="0" xfId="0" applyNumberFormat="1" applyFont="1" applyFill="1" applyAlignment="1">
      <alignment horizontal="center"/>
    </xf>
    <xf numFmtId="0" fontId="1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7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3586">
    <cellStyle name="20% - Accent1 10" xfId="1" xr:uid="{00000000-0005-0000-0000-000000000000}"/>
    <cellStyle name="20% - Accent1 11" xfId="2" xr:uid="{00000000-0005-0000-0000-000001000000}"/>
    <cellStyle name="20% - Accent1 12" xfId="3" xr:uid="{00000000-0005-0000-0000-000002000000}"/>
    <cellStyle name="20% - Accent1 13" xfId="4" xr:uid="{00000000-0005-0000-0000-000003000000}"/>
    <cellStyle name="20% - Accent1 14" xfId="5" xr:uid="{00000000-0005-0000-0000-000004000000}"/>
    <cellStyle name="20% - Accent1 15" xfId="6" xr:uid="{00000000-0005-0000-0000-000005000000}"/>
    <cellStyle name="20% - Accent1 16" xfId="7" xr:uid="{00000000-0005-0000-0000-000006000000}"/>
    <cellStyle name="20% - Accent1 17" xfId="8" xr:uid="{00000000-0005-0000-0000-000007000000}"/>
    <cellStyle name="20% - Accent1 18" xfId="9" xr:uid="{00000000-0005-0000-0000-000008000000}"/>
    <cellStyle name="20% - Accent1 19" xfId="10" xr:uid="{00000000-0005-0000-0000-000009000000}"/>
    <cellStyle name="20% - Accent1 2" xfId="11" xr:uid="{00000000-0005-0000-0000-00000A000000}"/>
    <cellStyle name="20% - Accent1 2 2" xfId="12" xr:uid="{00000000-0005-0000-0000-00000B000000}"/>
    <cellStyle name="20% - Accent1 2 2 2" xfId="13" xr:uid="{00000000-0005-0000-0000-00000C000000}"/>
    <cellStyle name="20% - Accent1 2 3" xfId="14" xr:uid="{00000000-0005-0000-0000-00000D000000}"/>
    <cellStyle name="20% - Accent1 2 3 2" xfId="15" xr:uid="{00000000-0005-0000-0000-00000E000000}"/>
    <cellStyle name="20% - Accent1 2 4" xfId="16" xr:uid="{00000000-0005-0000-0000-00000F000000}"/>
    <cellStyle name="20% - Accent1 2 4 2" xfId="17" xr:uid="{00000000-0005-0000-0000-000010000000}"/>
    <cellStyle name="20% - Accent1 2 5" xfId="18" xr:uid="{00000000-0005-0000-0000-000011000000}"/>
    <cellStyle name="20% - Accent1 2 5 2" xfId="19" xr:uid="{00000000-0005-0000-0000-000012000000}"/>
    <cellStyle name="20% - Accent1 2 6" xfId="20" xr:uid="{00000000-0005-0000-0000-000013000000}"/>
    <cellStyle name="20% - Accent1 20" xfId="21" xr:uid="{00000000-0005-0000-0000-000014000000}"/>
    <cellStyle name="20% - Accent1 21" xfId="22" xr:uid="{00000000-0005-0000-0000-000015000000}"/>
    <cellStyle name="20% - Accent1 22" xfId="23" xr:uid="{00000000-0005-0000-0000-000016000000}"/>
    <cellStyle name="20% - Accent1 3" xfId="24" xr:uid="{00000000-0005-0000-0000-000017000000}"/>
    <cellStyle name="20% - Accent1 3 2" xfId="25" xr:uid="{00000000-0005-0000-0000-000018000000}"/>
    <cellStyle name="20% - Accent1 3 2 2" xfId="26" xr:uid="{00000000-0005-0000-0000-000019000000}"/>
    <cellStyle name="20% - Accent1 3 3" xfId="27" xr:uid="{00000000-0005-0000-0000-00001A000000}"/>
    <cellStyle name="20% - Accent1 3 3 2" xfId="28" xr:uid="{00000000-0005-0000-0000-00001B000000}"/>
    <cellStyle name="20% - Accent1 3 4" xfId="29" xr:uid="{00000000-0005-0000-0000-00001C000000}"/>
    <cellStyle name="20% - Accent1 3 4 2" xfId="30" xr:uid="{00000000-0005-0000-0000-00001D000000}"/>
    <cellStyle name="20% - Accent1 3 5" xfId="31" xr:uid="{00000000-0005-0000-0000-00001E000000}"/>
    <cellStyle name="20% - Accent1 3 5 2" xfId="32" xr:uid="{00000000-0005-0000-0000-00001F000000}"/>
    <cellStyle name="20% - Accent1 3 6" xfId="33" xr:uid="{00000000-0005-0000-0000-000020000000}"/>
    <cellStyle name="20% - Accent1 4" xfId="34" xr:uid="{00000000-0005-0000-0000-000021000000}"/>
    <cellStyle name="20% - Accent1 4 2" xfId="35" xr:uid="{00000000-0005-0000-0000-000022000000}"/>
    <cellStyle name="20% - Accent1 4 2 2" xfId="36" xr:uid="{00000000-0005-0000-0000-000023000000}"/>
    <cellStyle name="20% - Accent1 4 3" xfId="37" xr:uid="{00000000-0005-0000-0000-000024000000}"/>
    <cellStyle name="20% - Accent1 4 3 2" xfId="38" xr:uid="{00000000-0005-0000-0000-000025000000}"/>
    <cellStyle name="20% - Accent1 4 4" xfId="39" xr:uid="{00000000-0005-0000-0000-000026000000}"/>
    <cellStyle name="20% - Accent1 4 4 2" xfId="40" xr:uid="{00000000-0005-0000-0000-000027000000}"/>
    <cellStyle name="20% - Accent1 4 5" xfId="41" xr:uid="{00000000-0005-0000-0000-000028000000}"/>
    <cellStyle name="20% - Accent1 4 5 2" xfId="42" xr:uid="{00000000-0005-0000-0000-000029000000}"/>
    <cellStyle name="20% - Accent1 4 6" xfId="43" xr:uid="{00000000-0005-0000-0000-00002A000000}"/>
    <cellStyle name="20% - Accent1 5" xfId="44" xr:uid="{00000000-0005-0000-0000-00002B000000}"/>
    <cellStyle name="20% - Accent1 5 2" xfId="45" xr:uid="{00000000-0005-0000-0000-00002C000000}"/>
    <cellStyle name="20% - Accent1 5 2 2" xfId="46" xr:uid="{00000000-0005-0000-0000-00002D000000}"/>
    <cellStyle name="20% - Accent1 5 3" xfId="47" xr:uid="{00000000-0005-0000-0000-00002E000000}"/>
    <cellStyle name="20% - Accent1 5 3 2" xfId="48" xr:uid="{00000000-0005-0000-0000-00002F000000}"/>
    <cellStyle name="20% - Accent1 5 4" xfId="49" xr:uid="{00000000-0005-0000-0000-000030000000}"/>
    <cellStyle name="20% - Accent1 5 4 2" xfId="50" xr:uid="{00000000-0005-0000-0000-000031000000}"/>
    <cellStyle name="20% - Accent1 5 5" xfId="51" xr:uid="{00000000-0005-0000-0000-000032000000}"/>
    <cellStyle name="20% - Accent1 5 5 2" xfId="52" xr:uid="{00000000-0005-0000-0000-000033000000}"/>
    <cellStyle name="20% - Accent1 5 6" xfId="53" xr:uid="{00000000-0005-0000-0000-000034000000}"/>
    <cellStyle name="20% - Accent1 6" xfId="54" xr:uid="{00000000-0005-0000-0000-000035000000}"/>
    <cellStyle name="20% - Accent1 6 2" xfId="55" xr:uid="{00000000-0005-0000-0000-000036000000}"/>
    <cellStyle name="20% - Accent1 6 2 2" xfId="56" xr:uid="{00000000-0005-0000-0000-000037000000}"/>
    <cellStyle name="20% - Accent1 6 3" xfId="57" xr:uid="{00000000-0005-0000-0000-000038000000}"/>
    <cellStyle name="20% - Accent1 6 3 2" xfId="58" xr:uid="{00000000-0005-0000-0000-000039000000}"/>
    <cellStyle name="20% - Accent1 6 4" xfId="59" xr:uid="{00000000-0005-0000-0000-00003A000000}"/>
    <cellStyle name="20% - Accent1 6 4 2" xfId="60" xr:uid="{00000000-0005-0000-0000-00003B000000}"/>
    <cellStyle name="20% - Accent1 6 5" xfId="61" xr:uid="{00000000-0005-0000-0000-00003C000000}"/>
    <cellStyle name="20% - Accent1 6 5 2" xfId="62" xr:uid="{00000000-0005-0000-0000-00003D000000}"/>
    <cellStyle name="20% - Accent1 6 6" xfId="63" xr:uid="{00000000-0005-0000-0000-00003E000000}"/>
    <cellStyle name="20% - Accent1 7" xfId="64" xr:uid="{00000000-0005-0000-0000-00003F000000}"/>
    <cellStyle name="20% - Accent1 7 2" xfId="65" xr:uid="{00000000-0005-0000-0000-000040000000}"/>
    <cellStyle name="20% - Accent1 7 2 2" xfId="66" xr:uid="{00000000-0005-0000-0000-000041000000}"/>
    <cellStyle name="20% - Accent1 7 3" xfId="67" xr:uid="{00000000-0005-0000-0000-000042000000}"/>
    <cellStyle name="20% - Accent1 7 3 2" xfId="68" xr:uid="{00000000-0005-0000-0000-000043000000}"/>
    <cellStyle name="20% - Accent1 7 4" xfId="69" xr:uid="{00000000-0005-0000-0000-000044000000}"/>
    <cellStyle name="20% - Accent1 7 4 2" xfId="70" xr:uid="{00000000-0005-0000-0000-000045000000}"/>
    <cellStyle name="20% - Accent1 7 5" xfId="71" xr:uid="{00000000-0005-0000-0000-000046000000}"/>
    <cellStyle name="20% - Accent1 7 5 2" xfId="72" xr:uid="{00000000-0005-0000-0000-000047000000}"/>
    <cellStyle name="20% - Accent1 7 6" xfId="73" xr:uid="{00000000-0005-0000-0000-000048000000}"/>
    <cellStyle name="20% - Accent1 8" xfId="74" xr:uid="{00000000-0005-0000-0000-000049000000}"/>
    <cellStyle name="20% - Accent1 8 2" xfId="75" xr:uid="{00000000-0005-0000-0000-00004A000000}"/>
    <cellStyle name="20% - Accent1 8 2 2" xfId="76" xr:uid="{00000000-0005-0000-0000-00004B000000}"/>
    <cellStyle name="20% - Accent1 8 3" xfId="77" xr:uid="{00000000-0005-0000-0000-00004C000000}"/>
    <cellStyle name="20% - Accent1 8 3 2" xfId="78" xr:uid="{00000000-0005-0000-0000-00004D000000}"/>
    <cellStyle name="20% - Accent1 8 4" xfId="79" xr:uid="{00000000-0005-0000-0000-00004E000000}"/>
    <cellStyle name="20% - Accent1 8 4 2" xfId="80" xr:uid="{00000000-0005-0000-0000-00004F000000}"/>
    <cellStyle name="20% - Accent1 8 5" xfId="81" xr:uid="{00000000-0005-0000-0000-000050000000}"/>
    <cellStyle name="20% - Accent1 8 5 2" xfId="82" xr:uid="{00000000-0005-0000-0000-000051000000}"/>
    <cellStyle name="20% - Accent1 8 6" xfId="83" xr:uid="{00000000-0005-0000-0000-000052000000}"/>
    <cellStyle name="20% - Accent1 9" xfId="84" xr:uid="{00000000-0005-0000-0000-000053000000}"/>
    <cellStyle name="20% - Accent1 9 2" xfId="85" xr:uid="{00000000-0005-0000-0000-000054000000}"/>
    <cellStyle name="20% - Accent2 10" xfId="86" xr:uid="{00000000-0005-0000-0000-000055000000}"/>
    <cellStyle name="20% - Accent2 11" xfId="87" xr:uid="{00000000-0005-0000-0000-000056000000}"/>
    <cellStyle name="20% - Accent2 12" xfId="88" xr:uid="{00000000-0005-0000-0000-000057000000}"/>
    <cellStyle name="20% - Accent2 13" xfId="89" xr:uid="{00000000-0005-0000-0000-000058000000}"/>
    <cellStyle name="20% - Accent2 14" xfId="90" xr:uid="{00000000-0005-0000-0000-000059000000}"/>
    <cellStyle name="20% - Accent2 15" xfId="91" xr:uid="{00000000-0005-0000-0000-00005A000000}"/>
    <cellStyle name="20% - Accent2 16" xfId="92" xr:uid="{00000000-0005-0000-0000-00005B000000}"/>
    <cellStyle name="20% - Accent2 17" xfId="93" xr:uid="{00000000-0005-0000-0000-00005C000000}"/>
    <cellStyle name="20% - Accent2 18" xfId="94" xr:uid="{00000000-0005-0000-0000-00005D000000}"/>
    <cellStyle name="20% - Accent2 19" xfId="95" xr:uid="{00000000-0005-0000-0000-00005E000000}"/>
    <cellStyle name="20% - Accent2 2" xfId="96" xr:uid="{00000000-0005-0000-0000-00005F000000}"/>
    <cellStyle name="20% - Accent2 2 2" xfId="97" xr:uid="{00000000-0005-0000-0000-000060000000}"/>
    <cellStyle name="20% - Accent2 2 2 2" xfId="98" xr:uid="{00000000-0005-0000-0000-000061000000}"/>
    <cellStyle name="20% - Accent2 2 3" xfId="99" xr:uid="{00000000-0005-0000-0000-000062000000}"/>
    <cellStyle name="20% - Accent2 2 3 2" xfId="100" xr:uid="{00000000-0005-0000-0000-000063000000}"/>
    <cellStyle name="20% - Accent2 2 4" xfId="101" xr:uid="{00000000-0005-0000-0000-000064000000}"/>
    <cellStyle name="20% - Accent2 2 4 2" xfId="102" xr:uid="{00000000-0005-0000-0000-000065000000}"/>
    <cellStyle name="20% - Accent2 2 5" xfId="103" xr:uid="{00000000-0005-0000-0000-000066000000}"/>
    <cellStyle name="20% - Accent2 2 5 2" xfId="104" xr:uid="{00000000-0005-0000-0000-000067000000}"/>
    <cellStyle name="20% - Accent2 2 6" xfId="105" xr:uid="{00000000-0005-0000-0000-000068000000}"/>
    <cellStyle name="20% - Accent2 20" xfId="106" xr:uid="{00000000-0005-0000-0000-000069000000}"/>
    <cellStyle name="20% - Accent2 21" xfId="107" xr:uid="{00000000-0005-0000-0000-00006A000000}"/>
    <cellStyle name="20% - Accent2 22" xfId="108" xr:uid="{00000000-0005-0000-0000-00006B000000}"/>
    <cellStyle name="20% - Accent2 3" xfId="109" xr:uid="{00000000-0005-0000-0000-00006C000000}"/>
    <cellStyle name="20% - Accent2 3 2" xfId="110" xr:uid="{00000000-0005-0000-0000-00006D000000}"/>
    <cellStyle name="20% - Accent2 3 2 2" xfId="111" xr:uid="{00000000-0005-0000-0000-00006E000000}"/>
    <cellStyle name="20% - Accent2 3 3" xfId="112" xr:uid="{00000000-0005-0000-0000-00006F000000}"/>
    <cellStyle name="20% - Accent2 3 3 2" xfId="113" xr:uid="{00000000-0005-0000-0000-000070000000}"/>
    <cellStyle name="20% - Accent2 3 4" xfId="114" xr:uid="{00000000-0005-0000-0000-000071000000}"/>
    <cellStyle name="20% - Accent2 3 4 2" xfId="115" xr:uid="{00000000-0005-0000-0000-000072000000}"/>
    <cellStyle name="20% - Accent2 3 5" xfId="116" xr:uid="{00000000-0005-0000-0000-000073000000}"/>
    <cellStyle name="20% - Accent2 3 5 2" xfId="117" xr:uid="{00000000-0005-0000-0000-000074000000}"/>
    <cellStyle name="20% - Accent2 3 6" xfId="118" xr:uid="{00000000-0005-0000-0000-000075000000}"/>
    <cellStyle name="20% - Accent2 4" xfId="119" xr:uid="{00000000-0005-0000-0000-000076000000}"/>
    <cellStyle name="20% - Accent2 4 2" xfId="120" xr:uid="{00000000-0005-0000-0000-000077000000}"/>
    <cellStyle name="20% - Accent2 4 2 2" xfId="121" xr:uid="{00000000-0005-0000-0000-000078000000}"/>
    <cellStyle name="20% - Accent2 4 3" xfId="122" xr:uid="{00000000-0005-0000-0000-000079000000}"/>
    <cellStyle name="20% - Accent2 4 3 2" xfId="123" xr:uid="{00000000-0005-0000-0000-00007A000000}"/>
    <cellStyle name="20% - Accent2 4 4" xfId="124" xr:uid="{00000000-0005-0000-0000-00007B000000}"/>
    <cellStyle name="20% - Accent2 4 4 2" xfId="125" xr:uid="{00000000-0005-0000-0000-00007C000000}"/>
    <cellStyle name="20% - Accent2 4 5" xfId="126" xr:uid="{00000000-0005-0000-0000-00007D000000}"/>
    <cellStyle name="20% - Accent2 4 5 2" xfId="127" xr:uid="{00000000-0005-0000-0000-00007E000000}"/>
    <cellStyle name="20% - Accent2 4 6" xfId="128" xr:uid="{00000000-0005-0000-0000-00007F000000}"/>
    <cellStyle name="20% - Accent2 5" xfId="129" xr:uid="{00000000-0005-0000-0000-000080000000}"/>
    <cellStyle name="20% - Accent2 5 2" xfId="130" xr:uid="{00000000-0005-0000-0000-000081000000}"/>
    <cellStyle name="20% - Accent2 5 2 2" xfId="131" xr:uid="{00000000-0005-0000-0000-000082000000}"/>
    <cellStyle name="20% - Accent2 5 3" xfId="132" xr:uid="{00000000-0005-0000-0000-000083000000}"/>
    <cellStyle name="20% - Accent2 5 3 2" xfId="133" xr:uid="{00000000-0005-0000-0000-000084000000}"/>
    <cellStyle name="20% - Accent2 5 4" xfId="134" xr:uid="{00000000-0005-0000-0000-000085000000}"/>
    <cellStyle name="20% - Accent2 5 4 2" xfId="135" xr:uid="{00000000-0005-0000-0000-000086000000}"/>
    <cellStyle name="20% - Accent2 5 5" xfId="136" xr:uid="{00000000-0005-0000-0000-000087000000}"/>
    <cellStyle name="20% - Accent2 5 5 2" xfId="137" xr:uid="{00000000-0005-0000-0000-000088000000}"/>
    <cellStyle name="20% - Accent2 5 6" xfId="138" xr:uid="{00000000-0005-0000-0000-000089000000}"/>
    <cellStyle name="20% - Accent2 6" xfId="139" xr:uid="{00000000-0005-0000-0000-00008A000000}"/>
    <cellStyle name="20% - Accent2 6 2" xfId="140" xr:uid="{00000000-0005-0000-0000-00008B000000}"/>
    <cellStyle name="20% - Accent2 6 2 2" xfId="141" xr:uid="{00000000-0005-0000-0000-00008C000000}"/>
    <cellStyle name="20% - Accent2 6 3" xfId="142" xr:uid="{00000000-0005-0000-0000-00008D000000}"/>
    <cellStyle name="20% - Accent2 6 3 2" xfId="143" xr:uid="{00000000-0005-0000-0000-00008E000000}"/>
    <cellStyle name="20% - Accent2 6 4" xfId="144" xr:uid="{00000000-0005-0000-0000-00008F000000}"/>
    <cellStyle name="20% - Accent2 6 4 2" xfId="145" xr:uid="{00000000-0005-0000-0000-000090000000}"/>
    <cellStyle name="20% - Accent2 6 5" xfId="146" xr:uid="{00000000-0005-0000-0000-000091000000}"/>
    <cellStyle name="20% - Accent2 6 5 2" xfId="147" xr:uid="{00000000-0005-0000-0000-000092000000}"/>
    <cellStyle name="20% - Accent2 6 6" xfId="148" xr:uid="{00000000-0005-0000-0000-000093000000}"/>
    <cellStyle name="20% - Accent2 7" xfId="149" xr:uid="{00000000-0005-0000-0000-000094000000}"/>
    <cellStyle name="20% - Accent2 7 2" xfId="150" xr:uid="{00000000-0005-0000-0000-000095000000}"/>
    <cellStyle name="20% - Accent2 7 2 2" xfId="151" xr:uid="{00000000-0005-0000-0000-000096000000}"/>
    <cellStyle name="20% - Accent2 7 3" xfId="152" xr:uid="{00000000-0005-0000-0000-000097000000}"/>
    <cellStyle name="20% - Accent2 7 3 2" xfId="153" xr:uid="{00000000-0005-0000-0000-000098000000}"/>
    <cellStyle name="20% - Accent2 7 4" xfId="154" xr:uid="{00000000-0005-0000-0000-000099000000}"/>
    <cellStyle name="20% - Accent2 7 4 2" xfId="155" xr:uid="{00000000-0005-0000-0000-00009A000000}"/>
    <cellStyle name="20% - Accent2 7 5" xfId="156" xr:uid="{00000000-0005-0000-0000-00009B000000}"/>
    <cellStyle name="20% - Accent2 7 5 2" xfId="157" xr:uid="{00000000-0005-0000-0000-00009C000000}"/>
    <cellStyle name="20% - Accent2 7 6" xfId="158" xr:uid="{00000000-0005-0000-0000-00009D000000}"/>
    <cellStyle name="20% - Accent2 8" xfId="159" xr:uid="{00000000-0005-0000-0000-00009E000000}"/>
    <cellStyle name="20% - Accent2 8 2" xfId="160" xr:uid="{00000000-0005-0000-0000-00009F000000}"/>
    <cellStyle name="20% - Accent2 8 2 2" xfId="161" xr:uid="{00000000-0005-0000-0000-0000A0000000}"/>
    <cellStyle name="20% - Accent2 8 3" xfId="162" xr:uid="{00000000-0005-0000-0000-0000A1000000}"/>
    <cellStyle name="20% - Accent2 8 3 2" xfId="163" xr:uid="{00000000-0005-0000-0000-0000A2000000}"/>
    <cellStyle name="20% - Accent2 8 4" xfId="164" xr:uid="{00000000-0005-0000-0000-0000A3000000}"/>
    <cellStyle name="20% - Accent2 8 4 2" xfId="165" xr:uid="{00000000-0005-0000-0000-0000A4000000}"/>
    <cellStyle name="20% - Accent2 8 5" xfId="166" xr:uid="{00000000-0005-0000-0000-0000A5000000}"/>
    <cellStyle name="20% - Accent2 8 5 2" xfId="167" xr:uid="{00000000-0005-0000-0000-0000A6000000}"/>
    <cellStyle name="20% - Accent2 8 6" xfId="168" xr:uid="{00000000-0005-0000-0000-0000A7000000}"/>
    <cellStyle name="20% - Accent2 9" xfId="169" xr:uid="{00000000-0005-0000-0000-0000A8000000}"/>
    <cellStyle name="20% - Accent2 9 2" xfId="170" xr:uid="{00000000-0005-0000-0000-0000A9000000}"/>
    <cellStyle name="20% - Accent3 10" xfId="171" xr:uid="{00000000-0005-0000-0000-0000AA000000}"/>
    <cellStyle name="20% - Accent3 11" xfId="172" xr:uid="{00000000-0005-0000-0000-0000AB000000}"/>
    <cellStyle name="20% - Accent3 12" xfId="173" xr:uid="{00000000-0005-0000-0000-0000AC000000}"/>
    <cellStyle name="20% - Accent3 13" xfId="174" xr:uid="{00000000-0005-0000-0000-0000AD000000}"/>
    <cellStyle name="20% - Accent3 14" xfId="175" xr:uid="{00000000-0005-0000-0000-0000AE000000}"/>
    <cellStyle name="20% - Accent3 15" xfId="176" xr:uid="{00000000-0005-0000-0000-0000AF000000}"/>
    <cellStyle name="20% - Accent3 16" xfId="177" xr:uid="{00000000-0005-0000-0000-0000B0000000}"/>
    <cellStyle name="20% - Accent3 17" xfId="178" xr:uid="{00000000-0005-0000-0000-0000B1000000}"/>
    <cellStyle name="20% - Accent3 18" xfId="179" xr:uid="{00000000-0005-0000-0000-0000B2000000}"/>
    <cellStyle name="20% - Accent3 19" xfId="180" xr:uid="{00000000-0005-0000-0000-0000B3000000}"/>
    <cellStyle name="20% - Accent3 2" xfId="181" xr:uid="{00000000-0005-0000-0000-0000B4000000}"/>
    <cellStyle name="20% - Accent3 2 2" xfId="182" xr:uid="{00000000-0005-0000-0000-0000B5000000}"/>
    <cellStyle name="20% - Accent3 2 2 2" xfId="183" xr:uid="{00000000-0005-0000-0000-0000B6000000}"/>
    <cellStyle name="20% - Accent3 2 3" xfId="184" xr:uid="{00000000-0005-0000-0000-0000B7000000}"/>
    <cellStyle name="20% - Accent3 2 3 2" xfId="185" xr:uid="{00000000-0005-0000-0000-0000B8000000}"/>
    <cellStyle name="20% - Accent3 2 4" xfId="186" xr:uid="{00000000-0005-0000-0000-0000B9000000}"/>
    <cellStyle name="20% - Accent3 2 4 2" xfId="187" xr:uid="{00000000-0005-0000-0000-0000BA000000}"/>
    <cellStyle name="20% - Accent3 2 5" xfId="188" xr:uid="{00000000-0005-0000-0000-0000BB000000}"/>
    <cellStyle name="20% - Accent3 2 5 2" xfId="189" xr:uid="{00000000-0005-0000-0000-0000BC000000}"/>
    <cellStyle name="20% - Accent3 2 6" xfId="190" xr:uid="{00000000-0005-0000-0000-0000BD000000}"/>
    <cellStyle name="20% - Accent3 20" xfId="191" xr:uid="{00000000-0005-0000-0000-0000BE000000}"/>
    <cellStyle name="20% - Accent3 21" xfId="192" xr:uid="{00000000-0005-0000-0000-0000BF000000}"/>
    <cellStyle name="20% - Accent3 22" xfId="193" xr:uid="{00000000-0005-0000-0000-0000C0000000}"/>
    <cellStyle name="20% - Accent3 3" xfId="194" xr:uid="{00000000-0005-0000-0000-0000C1000000}"/>
    <cellStyle name="20% - Accent3 3 2" xfId="195" xr:uid="{00000000-0005-0000-0000-0000C2000000}"/>
    <cellStyle name="20% - Accent3 3 2 2" xfId="196" xr:uid="{00000000-0005-0000-0000-0000C3000000}"/>
    <cellStyle name="20% - Accent3 3 3" xfId="197" xr:uid="{00000000-0005-0000-0000-0000C4000000}"/>
    <cellStyle name="20% - Accent3 3 3 2" xfId="198" xr:uid="{00000000-0005-0000-0000-0000C5000000}"/>
    <cellStyle name="20% - Accent3 3 4" xfId="199" xr:uid="{00000000-0005-0000-0000-0000C6000000}"/>
    <cellStyle name="20% - Accent3 3 4 2" xfId="200" xr:uid="{00000000-0005-0000-0000-0000C7000000}"/>
    <cellStyle name="20% - Accent3 3 5" xfId="201" xr:uid="{00000000-0005-0000-0000-0000C8000000}"/>
    <cellStyle name="20% - Accent3 3 5 2" xfId="202" xr:uid="{00000000-0005-0000-0000-0000C9000000}"/>
    <cellStyle name="20% - Accent3 3 6" xfId="203" xr:uid="{00000000-0005-0000-0000-0000CA000000}"/>
    <cellStyle name="20% - Accent3 4" xfId="204" xr:uid="{00000000-0005-0000-0000-0000CB000000}"/>
    <cellStyle name="20% - Accent3 4 2" xfId="205" xr:uid="{00000000-0005-0000-0000-0000CC000000}"/>
    <cellStyle name="20% - Accent3 4 2 2" xfId="206" xr:uid="{00000000-0005-0000-0000-0000CD000000}"/>
    <cellStyle name="20% - Accent3 4 3" xfId="207" xr:uid="{00000000-0005-0000-0000-0000CE000000}"/>
    <cellStyle name="20% - Accent3 4 3 2" xfId="208" xr:uid="{00000000-0005-0000-0000-0000CF000000}"/>
    <cellStyle name="20% - Accent3 4 4" xfId="209" xr:uid="{00000000-0005-0000-0000-0000D0000000}"/>
    <cellStyle name="20% - Accent3 4 4 2" xfId="210" xr:uid="{00000000-0005-0000-0000-0000D1000000}"/>
    <cellStyle name="20% - Accent3 4 5" xfId="211" xr:uid="{00000000-0005-0000-0000-0000D2000000}"/>
    <cellStyle name="20% - Accent3 4 5 2" xfId="212" xr:uid="{00000000-0005-0000-0000-0000D3000000}"/>
    <cellStyle name="20% - Accent3 4 6" xfId="213" xr:uid="{00000000-0005-0000-0000-0000D4000000}"/>
    <cellStyle name="20% - Accent3 5" xfId="214" xr:uid="{00000000-0005-0000-0000-0000D5000000}"/>
    <cellStyle name="20% - Accent3 5 2" xfId="215" xr:uid="{00000000-0005-0000-0000-0000D6000000}"/>
    <cellStyle name="20% - Accent3 5 2 2" xfId="216" xr:uid="{00000000-0005-0000-0000-0000D7000000}"/>
    <cellStyle name="20% - Accent3 5 3" xfId="217" xr:uid="{00000000-0005-0000-0000-0000D8000000}"/>
    <cellStyle name="20% - Accent3 5 3 2" xfId="218" xr:uid="{00000000-0005-0000-0000-0000D9000000}"/>
    <cellStyle name="20% - Accent3 5 4" xfId="219" xr:uid="{00000000-0005-0000-0000-0000DA000000}"/>
    <cellStyle name="20% - Accent3 5 4 2" xfId="220" xr:uid="{00000000-0005-0000-0000-0000DB000000}"/>
    <cellStyle name="20% - Accent3 5 5" xfId="221" xr:uid="{00000000-0005-0000-0000-0000DC000000}"/>
    <cellStyle name="20% - Accent3 5 5 2" xfId="222" xr:uid="{00000000-0005-0000-0000-0000DD000000}"/>
    <cellStyle name="20% - Accent3 5 6" xfId="223" xr:uid="{00000000-0005-0000-0000-0000DE000000}"/>
    <cellStyle name="20% - Accent3 6" xfId="224" xr:uid="{00000000-0005-0000-0000-0000DF000000}"/>
    <cellStyle name="20% - Accent3 6 2" xfId="225" xr:uid="{00000000-0005-0000-0000-0000E0000000}"/>
    <cellStyle name="20% - Accent3 6 2 2" xfId="226" xr:uid="{00000000-0005-0000-0000-0000E1000000}"/>
    <cellStyle name="20% - Accent3 6 3" xfId="227" xr:uid="{00000000-0005-0000-0000-0000E2000000}"/>
    <cellStyle name="20% - Accent3 6 3 2" xfId="228" xr:uid="{00000000-0005-0000-0000-0000E3000000}"/>
    <cellStyle name="20% - Accent3 6 4" xfId="229" xr:uid="{00000000-0005-0000-0000-0000E4000000}"/>
    <cellStyle name="20% - Accent3 6 4 2" xfId="230" xr:uid="{00000000-0005-0000-0000-0000E5000000}"/>
    <cellStyle name="20% - Accent3 6 5" xfId="231" xr:uid="{00000000-0005-0000-0000-0000E6000000}"/>
    <cellStyle name="20% - Accent3 6 5 2" xfId="232" xr:uid="{00000000-0005-0000-0000-0000E7000000}"/>
    <cellStyle name="20% - Accent3 6 6" xfId="233" xr:uid="{00000000-0005-0000-0000-0000E8000000}"/>
    <cellStyle name="20% - Accent3 7" xfId="234" xr:uid="{00000000-0005-0000-0000-0000E9000000}"/>
    <cellStyle name="20% - Accent3 7 2" xfId="235" xr:uid="{00000000-0005-0000-0000-0000EA000000}"/>
    <cellStyle name="20% - Accent3 7 2 2" xfId="236" xr:uid="{00000000-0005-0000-0000-0000EB000000}"/>
    <cellStyle name="20% - Accent3 7 3" xfId="237" xr:uid="{00000000-0005-0000-0000-0000EC000000}"/>
    <cellStyle name="20% - Accent3 7 3 2" xfId="238" xr:uid="{00000000-0005-0000-0000-0000ED000000}"/>
    <cellStyle name="20% - Accent3 7 4" xfId="239" xr:uid="{00000000-0005-0000-0000-0000EE000000}"/>
    <cellStyle name="20% - Accent3 7 4 2" xfId="240" xr:uid="{00000000-0005-0000-0000-0000EF000000}"/>
    <cellStyle name="20% - Accent3 7 5" xfId="241" xr:uid="{00000000-0005-0000-0000-0000F0000000}"/>
    <cellStyle name="20% - Accent3 7 5 2" xfId="242" xr:uid="{00000000-0005-0000-0000-0000F1000000}"/>
    <cellStyle name="20% - Accent3 7 6" xfId="243" xr:uid="{00000000-0005-0000-0000-0000F2000000}"/>
    <cellStyle name="20% - Accent3 8" xfId="244" xr:uid="{00000000-0005-0000-0000-0000F3000000}"/>
    <cellStyle name="20% - Accent3 8 2" xfId="245" xr:uid="{00000000-0005-0000-0000-0000F4000000}"/>
    <cellStyle name="20% - Accent3 8 2 2" xfId="246" xr:uid="{00000000-0005-0000-0000-0000F5000000}"/>
    <cellStyle name="20% - Accent3 8 3" xfId="247" xr:uid="{00000000-0005-0000-0000-0000F6000000}"/>
    <cellStyle name="20% - Accent3 8 3 2" xfId="248" xr:uid="{00000000-0005-0000-0000-0000F7000000}"/>
    <cellStyle name="20% - Accent3 8 4" xfId="249" xr:uid="{00000000-0005-0000-0000-0000F8000000}"/>
    <cellStyle name="20% - Accent3 8 4 2" xfId="250" xr:uid="{00000000-0005-0000-0000-0000F9000000}"/>
    <cellStyle name="20% - Accent3 8 5" xfId="251" xr:uid="{00000000-0005-0000-0000-0000FA000000}"/>
    <cellStyle name="20% - Accent3 8 5 2" xfId="252" xr:uid="{00000000-0005-0000-0000-0000FB000000}"/>
    <cellStyle name="20% - Accent3 8 6" xfId="253" xr:uid="{00000000-0005-0000-0000-0000FC000000}"/>
    <cellStyle name="20% - Accent3 9" xfId="254" xr:uid="{00000000-0005-0000-0000-0000FD000000}"/>
    <cellStyle name="20% - Accent3 9 2" xfId="255" xr:uid="{00000000-0005-0000-0000-0000FE000000}"/>
    <cellStyle name="20% - Accent4 10" xfId="256" xr:uid="{00000000-0005-0000-0000-0000FF000000}"/>
    <cellStyle name="20% - Accent4 11" xfId="257" xr:uid="{00000000-0005-0000-0000-000000010000}"/>
    <cellStyle name="20% - Accent4 12" xfId="258" xr:uid="{00000000-0005-0000-0000-000001010000}"/>
    <cellStyle name="20% - Accent4 13" xfId="259" xr:uid="{00000000-0005-0000-0000-000002010000}"/>
    <cellStyle name="20% - Accent4 14" xfId="260" xr:uid="{00000000-0005-0000-0000-000003010000}"/>
    <cellStyle name="20% - Accent4 15" xfId="261" xr:uid="{00000000-0005-0000-0000-000004010000}"/>
    <cellStyle name="20% - Accent4 16" xfId="262" xr:uid="{00000000-0005-0000-0000-000005010000}"/>
    <cellStyle name="20% - Accent4 17" xfId="263" xr:uid="{00000000-0005-0000-0000-000006010000}"/>
    <cellStyle name="20% - Accent4 18" xfId="264" xr:uid="{00000000-0005-0000-0000-000007010000}"/>
    <cellStyle name="20% - Accent4 19" xfId="265" xr:uid="{00000000-0005-0000-0000-000008010000}"/>
    <cellStyle name="20% - Accent4 2" xfId="266" xr:uid="{00000000-0005-0000-0000-000009010000}"/>
    <cellStyle name="20% - Accent4 2 2" xfId="267" xr:uid="{00000000-0005-0000-0000-00000A010000}"/>
    <cellStyle name="20% - Accent4 2 2 2" xfId="268" xr:uid="{00000000-0005-0000-0000-00000B010000}"/>
    <cellStyle name="20% - Accent4 2 3" xfId="269" xr:uid="{00000000-0005-0000-0000-00000C010000}"/>
    <cellStyle name="20% - Accent4 2 3 2" xfId="270" xr:uid="{00000000-0005-0000-0000-00000D010000}"/>
    <cellStyle name="20% - Accent4 2 4" xfId="271" xr:uid="{00000000-0005-0000-0000-00000E010000}"/>
    <cellStyle name="20% - Accent4 2 4 2" xfId="272" xr:uid="{00000000-0005-0000-0000-00000F010000}"/>
    <cellStyle name="20% - Accent4 2 5" xfId="273" xr:uid="{00000000-0005-0000-0000-000010010000}"/>
    <cellStyle name="20% - Accent4 2 5 2" xfId="274" xr:uid="{00000000-0005-0000-0000-000011010000}"/>
    <cellStyle name="20% - Accent4 2 6" xfId="275" xr:uid="{00000000-0005-0000-0000-000012010000}"/>
    <cellStyle name="20% - Accent4 20" xfId="276" xr:uid="{00000000-0005-0000-0000-000013010000}"/>
    <cellStyle name="20% - Accent4 21" xfId="277" xr:uid="{00000000-0005-0000-0000-000014010000}"/>
    <cellStyle name="20% - Accent4 22" xfId="278" xr:uid="{00000000-0005-0000-0000-000015010000}"/>
    <cellStyle name="20% - Accent4 3" xfId="279" xr:uid="{00000000-0005-0000-0000-000016010000}"/>
    <cellStyle name="20% - Accent4 3 2" xfId="280" xr:uid="{00000000-0005-0000-0000-000017010000}"/>
    <cellStyle name="20% - Accent4 3 2 2" xfId="281" xr:uid="{00000000-0005-0000-0000-000018010000}"/>
    <cellStyle name="20% - Accent4 3 3" xfId="282" xr:uid="{00000000-0005-0000-0000-000019010000}"/>
    <cellStyle name="20% - Accent4 3 3 2" xfId="283" xr:uid="{00000000-0005-0000-0000-00001A010000}"/>
    <cellStyle name="20% - Accent4 3 4" xfId="284" xr:uid="{00000000-0005-0000-0000-00001B010000}"/>
    <cellStyle name="20% - Accent4 3 4 2" xfId="285" xr:uid="{00000000-0005-0000-0000-00001C010000}"/>
    <cellStyle name="20% - Accent4 3 5" xfId="286" xr:uid="{00000000-0005-0000-0000-00001D010000}"/>
    <cellStyle name="20% - Accent4 3 5 2" xfId="287" xr:uid="{00000000-0005-0000-0000-00001E010000}"/>
    <cellStyle name="20% - Accent4 3 6" xfId="288" xr:uid="{00000000-0005-0000-0000-00001F010000}"/>
    <cellStyle name="20% - Accent4 4" xfId="289" xr:uid="{00000000-0005-0000-0000-000020010000}"/>
    <cellStyle name="20% - Accent4 4 2" xfId="290" xr:uid="{00000000-0005-0000-0000-000021010000}"/>
    <cellStyle name="20% - Accent4 4 2 2" xfId="291" xr:uid="{00000000-0005-0000-0000-000022010000}"/>
    <cellStyle name="20% - Accent4 4 3" xfId="292" xr:uid="{00000000-0005-0000-0000-000023010000}"/>
    <cellStyle name="20% - Accent4 4 3 2" xfId="293" xr:uid="{00000000-0005-0000-0000-000024010000}"/>
    <cellStyle name="20% - Accent4 4 4" xfId="294" xr:uid="{00000000-0005-0000-0000-000025010000}"/>
    <cellStyle name="20% - Accent4 4 4 2" xfId="295" xr:uid="{00000000-0005-0000-0000-000026010000}"/>
    <cellStyle name="20% - Accent4 4 5" xfId="296" xr:uid="{00000000-0005-0000-0000-000027010000}"/>
    <cellStyle name="20% - Accent4 4 5 2" xfId="297" xr:uid="{00000000-0005-0000-0000-000028010000}"/>
    <cellStyle name="20% - Accent4 4 6" xfId="298" xr:uid="{00000000-0005-0000-0000-000029010000}"/>
    <cellStyle name="20% - Accent4 5" xfId="299" xr:uid="{00000000-0005-0000-0000-00002A010000}"/>
    <cellStyle name="20% - Accent4 5 2" xfId="300" xr:uid="{00000000-0005-0000-0000-00002B010000}"/>
    <cellStyle name="20% - Accent4 5 2 2" xfId="301" xr:uid="{00000000-0005-0000-0000-00002C010000}"/>
    <cellStyle name="20% - Accent4 5 3" xfId="302" xr:uid="{00000000-0005-0000-0000-00002D010000}"/>
    <cellStyle name="20% - Accent4 5 3 2" xfId="303" xr:uid="{00000000-0005-0000-0000-00002E010000}"/>
    <cellStyle name="20% - Accent4 5 4" xfId="304" xr:uid="{00000000-0005-0000-0000-00002F010000}"/>
    <cellStyle name="20% - Accent4 5 4 2" xfId="305" xr:uid="{00000000-0005-0000-0000-000030010000}"/>
    <cellStyle name="20% - Accent4 5 5" xfId="306" xr:uid="{00000000-0005-0000-0000-000031010000}"/>
    <cellStyle name="20% - Accent4 5 5 2" xfId="307" xr:uid="{00000000-0005-0000-0000-000032010000}"/>
    <cellStyle name="20% - Accent4 5 6" xfId="308" xr:uid="{00000000-0005-0000-0000-000033010000}"/>
    <cellStyle name="20% - Accent4 6" xfId="309" xr:uid="{00000000-0005-0000-0000-000034010000}"/>
    <cellStyle name="20% - Accent4 6 2" xfId="310" xr:uid="{00000000-0005-0000-0000-000035010000}"/>
    <cellStyle name="20% - Accent4 6 2 2" xfId="311" xr:uid="{00000000-0005-0000-0000-000036010000}"/>
    <cellStyle name="20% - Accent4 6 3" xfId="312" xr:uid="{00000000-0005-0000-0000-000037010000}"/>
    <cellStyle name="20% - Accent4 6 3 2" xfId="313" xr:uid="{00000000-0005-0000-0000-000038010000}"/>
    <cellStyle name="20% - Accent4 6 4" xfId="314" xr:uid="{00000000-0005-0000-0000-000039010000}"/>
    <cellStyle name="20% - Accent4 6 4 2" xfId="315" xr:uid="{00000000-0005-0000-0000-00003A010000}"/>
    <cellStyle name="20% - Accent4 6 5" xfId="316" xr:uid="{00000000-0005-0000-0000-00003B010000}"/>
    <cellStyle name="20% - Accent4 6 5 2" xfId="317" xr:uid="{00000000-0005-0000-0000-00003C010000}"/>
    <cellStyle name="20% - Accent4 6 6" xfId="318" xr:uid="{00000000-0005-0000-0000-00003D010000}"/>
    <cellStyle name="20% - Accent4 7" xfId="319" xr:uid="{00000000-0005-0000-0000-00003E010000}"/>
    <cellStyle name="20% - Accent4 7 2" xfId="320" xr:uid="{00000000-0005-0000-0000-00003F010000}"/>
    <cellStyle name="20% - Accent4 7 2 2" xfId="321" xr:uid="{00000000-0005-0000-0000-000040010000}"/>
    <cellStyle name="20% - Accent4 7 3" xfId="322" xr:uid="{00000000-0005-0000-0000-000041010000}"/>
    <cellStyle name="20% - Accent4 7 3 2" xfId="323" xr:uid="{00000000-0005-0000-0000-000042010000}"/>
    <cellStyle name="20% - Accent4 7 4" xfId="324" xr:uid="{00000000-0005-0000-0000-000043010000}"/>
    <cellStyle name="20% - Accent4 7 4 2" xfId="325" xr:uid="{00000000-0005-0000-0000-000044010000}"/>
    <cellStyle name="20% - Accent4 7 5" xfId="326" xr:uid="{00000000-0005-0000-0000-000045010000}"/>
    <cellStyle name="20% - Accent4 7 5 2" xfId="327" xr:uid="{00000000-0005-0000-0000-000046010000}"/>
    <cellStyle name="20% - Accent4 7 6" xfId="328" xr:uid="{00000000-0005-0000-0000-000047010000}"/>
    <cellStyle name="20% - Accent4 8" xfId="329" xr:uid="{00000000-0005-0000-0000-000048010000}"/>
    <cellStyle name="20% - Accent4 8 2" xfId="330" xr:uid="{00000000-0005-0000-0000-000049010000}"/>
    <cellStyle name="20% - Accent4 8 2 2" xfId="331" xr:uid="{00000000-0005-0000-0000-00004A010000}"/>
    <cellStyle name="20% - Accent4 8 3" xfId="332" xr:uid="{00000000-0005-0000-0000-00004B010000}"/>
    <cellStyle name="20% - Accent4 8 3 2" xfId="333" xr:uid="{00000000-0005-0000-0000-00004C010000}"/>
    <cellStyle name="20% - Accent4 8 4" xfId="334" xr:uid="{00000000-0005-0000-0000-00004D010000}"/>
    <cellStyle name="20% - Accent4 8 4 2" xfId="335" xr:uid="{00000000-0005-0000-0000-00004E010000}"/>
    <cellStyle name="20% - Accent4 8 5" xfId="336" xr:uid="{00000000-0005-0000-0000-00004F010000}"/>
    <cellStyle name="20% - Accent4 8 5 2" xfId="337" xr:uid="{00000000-0005-0000-0000-000050010000}"/>
    <cellStyle name="20% - Accent4 8 6" xfId="338" xr:uid="{00000000-0005-0000-0000-000051010000}"/>
    <cellStyle name="20% - Accent4 9" xfId="339" xr:uid="{00000000-0005-0000-0000-000052010000}"/>
    <cellStyle name="20% - Accent4 9 2" xfId="340" xr:uid="{00000000-0005-0000-0000-000053010000}"/>
    <cellStyle name="20% - Accent5 10" xfId="341" xr:uid="{00000000-0005-0000-0000-000054010000}"/>
    <cellStyle name="20% - Accent5 11" xfId="342" xr:uid="{00000000-0005-0000-0000-000055010000}"/>
    <cellStyle name="20% - Accent5 12" xfId="343" xr:uid="{00000000-0005-0000-0000-000056010000}"/>
    <cellStyle name="20% - Accent5 13" xfId="344" xr:uid="{00000000-0005-0000-0000-000057010000}"/>
    <cellStyle name="20% - Accent5 14" xfId="345" xr:uid="{00000000-0005-0000-0000-000058010000}"/>
    <cellStyle name="20% - Accent5 15" xfId="346" xr:uid="{00000000-0005-0000-0000-000059010000}"/>
    <cellStyle name="20% - Accent5 16" xfId="347" xr:uid="{00000000-0005-0000-0000-00005A010000}"/>
    <cellStyle name="20% - Accent5 17" xfId="348" xr:uid="{00000000-0005-0000-0000-00005B010000}"/>
    <cellStyle name="20% - Accent5 18" xfId="349" xr:uid="{00000000-0005-0000-0000-00005C010000}"/>
    <cellStyle name="20% - Accent5 19" xfId="350" xr:uid="{00000000-0005-0000-0000-00005D010000}"/>
    <cellStyle name="20% - Accent5 2" xfId="351" xr:uid="{00000000-0005-0000-0000-00005E010000}"/>
    <cellStyle name="20% - Accent5 2 2" xfId="352" xr:uid="{00000000-0005-0000-0000-00005F010000}"/>
    <cellStyle name="20% - Accent5 2 2 2" xfId="353" xr:uid="{00000000-0005-0000-0000-000060010000}"/>
    <cellStyle name="20% - Accent5 2 3" xfId="354" xr:uid="{00000000-0005-0000-0000-000061010000}"/>
    <cellStyle name="20% - Accent5 2 3 2" xfId="355" xr:uid="{00000000-0005-0000-0000-000062010000}"/>
    <cellStyle name="20% - Accent5 2 4" xfId="356" xr:uid="{00000000-0005-0000-0000-000063010000}"/>
    <cellStyle name="20% - Accent5 2 4 2" xfId="357" xr:uid="{00000000-0005-0000-0000-000064010000}"/>
    <cellStyle name="20% - Accent5 2 5" xfId="358" xr:uid="{00000000-0005-0000-0000-000065010000}"/>
    <cellStyle name="20% - Accent5 2 5 2" xfId="359" xr:uid="{00000000-0005-0000-0000-000066010000}"/>
    <cellStyle name="20% - Accent5 2 6" xfId="360" xr:uid="{00000000-0005-0000-0000-000067010000}"/>
    <cellStyle name="20% - Accent5 20" xfId="361" xr:uid="{00000000-0005-0000-0000-000068010000}"/>
    <cellStyle name="20% - Accent5 21" xfId="362" xr:uid="{00000000-0005-0000-0000-000069010000}"/>
    <cellStyle name="20% - Accent5 22" xfId="363" xr:uid="{00000000-0005-0000-0000-00006A010000}"/>
    <cellStyle name="20% - Accent5 3" xfId="364" xr:uid="{00000000-0005-0000-0000-00006B010000}"/>
    <cellStyle name="20% - Accent5 3 2" xfId="365" xr:uid="{00000000-0005-0000-0000-00006C010000}"/>
    <cellStyle name="20% - Accent5 3 2 2" xfId="366" xr:uid="{00000000-0005-0000-0000-00006D010000}"/>
    <cellStyle name="20% - Accent5 3 3" xfId="367" xr:uid="{00000000-0005-0000-0000-00006E010000}"/>
    <cellStyle name="20% - Accent5 3 3 2" xfId="368" xr:uid="{00000000-0005-0000-0000-00006F010000}"/>
    <cellStyle name="20% - Accent5 3 4" xfId="369" xr:uid="{00000000-0005-0000-0000-000070010000}"/>
    <cellStyle name="20% - Accent5 3 4 2" xfId="370" xr:uid="{00000000-0005-0000-0000-000071010000}"/>
    <cellStyle name="20% - Accent5 3 5" xfId="371" xr:uid="{00000000-0005-0000-0000-000072010000}"/>
    <cellStyle name="20% - Accent5 3 5 2" xfId="372" xr:uid="{00000000-0005-0000-0000-000073010000}"/>
    <cellStyle name="20% - Accent5 3 6" xfId="373" xr:uid="{00000000-0005-0000-0000-000074010000}"/>
    <cellStyle name="20% - Accent5 4" xfId="374" xr:uid="{00000000-0005-0000-0000-000075010000}"/>
    <cellStyle name="20% - Accent5 4 2" xfId="375" xr:uid="{00000000-0005-0000-0000-000076010000}"/>
    <cellStyle name="20% - Accent5 4 2 2" xfId="376" xr:uid="{00000000-0005-0000-0000-000077010000}"/>
    <cellStyle name="20% - Accent5 4 3" xfId="377" xr:uid="{00000000-0005-0000-0000-000078010000}"/>
    <cellStyle name="20% - Accent5 4 3 2" xfId="378" xr:uid="{00000000-0005-0000-0000-000079010000}"/>
    <cellStyle name="20% - Accent5 4 4" xfId="379" xr:uid="{00000000-0005-0000-0000-00007A010000}"/>
    <cellStyle name="20% - Accent5 4 4 2" xfId="380" xr:uid="{00000000-0005-0000-0000-00007B010000}"/>
    <cellStyle name="20% - Accent5 4 5" xfId="381" xr:uid="{00000000-0005-0000-0000-00007C010000}"/>
    <cellStyle name="20% - Accent5 4 5 2" xfId="382" xr:uid="{00000000-0005-0000-0000-00007D010000}"/>
    <cellStyle name="20% - Accent5 4 6" xfId="383" xr:uid="{00000000-0005-0000-0000-00007E010000}"/>
    <cellStyle name="20% - Accent5 5" xfId="384" xr:uid="{00000000-0005-0000-0000-00007F010000}"/>
    <cellStyle name="20% - Accent5 5 2" xfId="385" xr:uid="{00000000-0005-0000-0000-000080010000}"/>
    <cellStyle name="20% - Accent5 5 2 2" xfId="386" xr:uid="{00000000-0005-0000-0000-000081010000}"/>
    <cellStyle name="20% - Accent5 5 3" xfId="387" xr:uid="{00000000-0005-0000-0000-000082010000}"/>
    <cellStyle name="20% - Accent5 5 3 2" xfId="388" xr:uid="{00000000-0005-0000-0000-000083010000}"/>
    <cellStyle name="20% - Accent5 5 4" xfId="389" xr:uid="{00000000-0005-0000-0000-000084010000}"/>
    <cellStyle name="20% - Accent5 5 4 2" xfId="390" xr:uid="{00000000-0005-0000-0000-000085010000}"/>
    <cellStyle name="20% - Accent5 5 5" xfId="391" xr:uid="{00000000-0005-0000-0000-000086010000}"/>
    <cellStyle name="20% - Accent5 5 5 2" xfId="392" xr:uid="{00000000-0005-0000-0000-000087010000}"/>
    <cellStyle name="20% - Accent5 5 6" xfId="393" xr:uid="{00000000-0005-0000-0000-000088010000}"/>
    <cellStyle name="20% - Accent5 6" xfId="394" xr:uid="{00000000-0005-0000-0000-000089010000}"/>
    <cellStyle name="20% - Accent5 6 2" xfId="395" xr:uid="{00000000-0005-0000-0000-00008A010000}"/>
    <cellStyle name="20% - Accent5 6 2 2" xfId="396" xr:uid="{00000000-0005-0000-0000-00008B010000}"/>
    <cellStyle name="20% - Accent5 6 3" xfId="397" xr:uid="{00000000-0005-0000-0000-00008C010000}"/>
    <cellStyle name="20% - Accent5 6 3 2" xfId="398" xr:uid="{00000000-0005-0000-0000-00008D010000}"/>
    <cellStyle name="20% - Accent5 6 4" xfId="399" xr:uid="{00000000-0005-0000-0000-00008E010000}"/>
    <cellStyle name="20% - Accent5 6 4 2" xfId="400" xr:uid="{00000000-0005-0000-0000-00008F010000}"/>
    <cellStyle name="20% - Accent5 6 5" xfId="401" xr:uid="{00000000-0005-0000-0000-000090010000}"/>
    <cellStyle name="20% - Accent5 6 5 2" xfId="402" xr:uid="{00000000-0005-0000-0000-000091010000}"/>
    <cellStyle name="20% - Accent5 6 6" xfId="403" xr:uid="{00000000-0005-0000-0000-000092010000}"/>
    <cellStyle name="20% - Accent5 7" xfId="404" xr:uid="{00000000-0005-0000-0000-000093010000}"/>
    <cellStyle name="20% - Accent5 7 2" xfId="405" xr:uid="{00000000-0005-0000-0000-000094010000}"/>
    <cellStyle name="20% - Accent5 7 2 2" xfId="406" xr:uid="{00000000-0005-0000-0000-000095010000}"/>
    <cellStyle name="20% - Accent5 7 3" xfId="407" xr:uid="{00000000-0005-0000-0000-000096010000}"/>
    <cellStyle name="20% - Accent5 7 3 2" xfId="408" xr:uid="{00000000-0005-0000-0000-000097010000}"/>
    <cellStyle name="20% - Accent5 7 4" xfId="409" xr:uid="{00000000-0005-0000-0000-000098010000}"/>
    <cellStyle name="20% - Accent5 7 4 2" xfId="410" xr:uid="{00000000-0005-0000-0000-000099010000}"/>
    <cellStyle name="20% - Accent5 7 5" xfId="411" xr:uid="{00000000-0005-0000-0000-00009A010000}"/>
    <cellStyle name="20% - Accent5 7 5 2" xfId="412" xr:uid="{00000000-0005-0000-0000-00009B010000}"/>
    <cellStyle name="20% - Accent5 7 6" xfId="413" xr:uid="{00000000-0005-0000-0000-00009C010000}"/>
    <cellStyle name="20% - Accent5 8" xfId="414" xr:uid="{00000000-0005-0000-0000-00009D010000}"/>
    <cellStyle name="20% - Accent5 8 2" xfId="415" xr:uid="{00000000-0005-0000-0000-00009E010000}"/>
    <cellStyle name="20% - Accent5 8 2 2" xfId="416" xr:uid="{00000000-0005-0000-0000-00009F010000}"/>
    <cellStyle name="20% - Accent5 8 3" xfId="417" xr:uid="{00000000-0005-0000-0000-0000A0010000}"/>
    <cellStyle name="20% - Accent5 8 3 2" xfId="418" xr:uid="{00000000-0005-0000-0000-0000A1010000}"/>
    <cellStyle name="20% - Accent5 8 4" xfId="419" xr:uid="{00000000-0005-0000-0000-0000A2010000}"/>
    <cellStyle name="20% - Accent5 8 4 2" xfId="420" xr:uid="{00000000-0005-0000-0000-0000A3010000}"/>
    <cellStyle name="20% - Accent5 8 5" xfId="421" xr:uid="{00000000-0005-0000-0000-0000A4010000}"/>
    <cellStyle name="20% - Accent5 8 5 2" xfId="422" xr:uid="{00000000-0005-0000-0000-0000A5010000}"/>
    <cellStyle name="20% - Accent5 8 6" xfId="423" xr:uid="{00000000-0005-0000-0000-0000A6010000}"/>
    <cellStyle name="20% - Accent5 9" xfId="424" xr:uid="{00000000-0005-0000-0000-0000A7010000}"/>
    <cellStyle name="20% - Accent5 9 2" xfId="425" xr:uid="{00000000-0005-0000-0000-0000A8010000}"/>
    <cellStyle name="20% - Accent6 10" xfId="426" xr:uid="{00000000-0005-0000-0000-0000A9010000}"/>
    <cellStyle name="20% - Accent6 11" xfId="427" xr:uid="{00000000-0005-0000-0000-0000AA010000}"/>
    <cellStyle name="20% - Accent6 12" xfId="428" xr:uid="{00000000-0005-0000-0000-0000AB010000}"/>
    <cellStyle name="20% - Accent6 13" xfId="429" xr:uid="{00000000-0005-0000-0000-0000AC010000}"/>
    <cellStyle name="20% - Accent6 14" xfId="430" xr:uid="{00000000-0005-0000-0000-0000AD010000}"/>
    <cellStyle name="20% - Accent6 15" xfId="431" xr:uid="{00000000-0005-0000-0000-0000AE010000}"/>
    <cellStyle name="20% - Accent6 16" xfId="432" xr:uid="{00000000-0005-0000-0000-0000AF010000}"/>
    <cellStyle name="20% - Accent6 17" xfId="433" xr:uid="{00000000-0005-0000-0000-0000B0010000}"/>
    <cellStyle name="20% - Accent6 18" xfId="434" xr:uid="{00000000-0005-0000-0000-0000B1010000}"/>
    <cellStyle name="20% - Accent6 19" xfId="435" xr:uid="{00000000-0005-0000-0000-0000B2010000}"/>
    <cellStyle name="20% - Accent6 2" xfId="436" xr:uid="{00000000-0005-0000-0000-0000B3010000}"/>
    <cellStyle name="20% - Accent6 2 2" xfId="437" xr:uid="{00000000-0005-0000-0000-0000B4010000}"/>
    <cellStyle name="20% - Accent6 2 2 2" xfId="438" xr:uid="{00000000-0005-0000-0000-0000B5010000}"/>
    <cellStyle name="20% - Accent6 2 3" xfId="439" xr:uid="{00000000-0005-0000-0000-0000B6010000}"/>
    <cellStyle name="20% - Accent6 2 3 2" xfId="440" xr:uid="{00000000-0005-0000-0000-0000B7010000}"/>
    <cellStyle name="20% - Accent6 2 4" xfId="441" xr:uid="{00000000-0005-0000-0000-0000B8010000}"/>
    <cellStyle name="20% - Accent6 2 4 2" xfId="442" xr:uid="{00000000-0005-0000-0000-0000B9010000}"/>
    <cellStyle name="20% - Accent6 2 5" xfId="443" xr:uid="{00000000-0005-0000-0000-0000BA010000}"/>
    <cellStyle name="20% - Accent6 2 5 2" xfId="444" xr:uid="{00000000-0005-0000-0000-0000BB010000}"/>
    <cellStyle name="20% - Accent6 2 6" xfId="445" xr:uid="{00000000-0005-0000-0000-0000BC010000}"/>
    <cellStyle name="20% - Accent6 20" xfId="446" xr:uid="{00000000-0005-0000-0000-0000BD010000}"/>
    <cellStyle name="20% - Accent6 21" xfId="447" xr:uid="{00000000-0005-0000-0000-0000BE010000}"/>
    <cellStyle name="20% - Accent6 22" xfId="448" xr:uid="{00000000-0005-0000-0000-0000BF010000}"/>
    <cellStyle name="20% - Accent6 3" xfId="449" xr:uid="{00000000-0005-0000-0000-0000C0010000}"/>
    <cellStyle name="20% - Accent6 3 2" xfId="450" xr:uid="{00000000-0005-0000-0000-0000C1010000}"/>
    <cellStyle name="20% - Accent6 3 2 2" xfId="451" xr:uid="{00000000-0005-0000-0000-0000C2010000}"/>
    <cellStyle name="20% - Accent6 3 3" xfId="452" xr:uid="{00000000-0005-0000-0000-0000C3010000}"/>
    <cellStyle name="20% - Accent6 3 3 2" xfId="453" xr:uid="{00000000-0005-0000-0000-0000C4010000}"/>
    <cellStyle name="20% - Accent6 3 4" xfId="454" xr:uid="{00000000-0005-0000-0000-0000C5010000}"/>
    <cellStyle name="20% - Accent6 3 4 2" xfId="455" xr:uid="{00000000-0005-0000-0000-0000C6010000}"/>
    <cellStyle name="20% - Accent6 3 5" xfId="456" xr:uid="{00000000-0005-0000-0000-0000C7010000}"/>
    <cellStyle name="20% - Accent6 3 5 2" xfId="457" xr:uid="{00000000-0005-0000-0000-0000C8010000}"/>
    <cellStyle name="20% - Accent6 3 6" xfId="458" xr:uid="{00000000-0005-0000-0000-0000C9010000}"/>
    <cellStyle name="20% - Accent6 4" xfId="459" xr:uid="{00000000-0005-0000-0000-0000CA010000}"/>
    <cellStyle name="20% - Accent6 4 2" xfId="460" xr:uid="{00000000-0005-0000-0000-0000CB010000}"/>
    <cellStyle name="20% - Accent6 4 2 2" xfId="461" xr:uid="{00000000-0005-0000-0000-0000CC010000}"/>
    <cellStyle name="20% - Accent6 4 3" xfId="462" xr:uid="{00000000-0005-0000-0000-0000CD010000}"/>
    <cellStyle name="20% - Accent6 4 3 2" xfId="463" xr:uid="{00000000-0005-0000-0000-0000CE010000}"/>
    <cellStyle name="20% - Accent6 4 4" xfId="464" xr:uid="{00000000-0005-0000-0000-0000CF010000}"/>
    <cellStyle name="20% - Accent6 4 4 2" xfId="465" xr:uid="{00000000-0005-0000-0000-0000D0010000}"/>
    <cellStyle name="20% - Accent6 4 5" xfId="466" xr:uid="{00000000-0005-0000-0000-0000D1010000}"/>
    <cellStyle name="20% - Accent6 4 5 2" xfId="467" xr:uid="{00000000-0005-0000-0000-0000D2010000}"/>
    <cellStyle name="20% - Accent6 4 6" xfId="468" xr:uid="{00000000-0005-0000-0000-0000D3010000}"/>
    <cellStyle name="20% - Accent6 5" xfId="469" xr:uid="{00000000-0005-0000-0000-0000D4010000}"/>
    <cellStyle name="20% - Accent6 5 2" xfId="470" xr:uid="{00000000-0005-0000-0000-0000D5010000}"/>
    <cellStyle name="20% - Accent6 5 2 2" xfId="471" xr:uid="{00000000-0005-0000-0000-0000D6010000}"/>
    <cellStyle name="20% - Accent6 5 3" xfId="472" xr:uid="{00000000-0005-0000-0000-0000D7010000}"/>
    <cellStyle name="20% - Accent6 5 3 2" xfId="473" xr:uid="{00000000-0005-0000-0000-0000D8010000}"/>
    <cellStyle name="20% - Accent6 5 4" xfId="474" xr:uid="{00000000-0005-0000-0000-0000D9010000}"/>
    <cellStyle name="20% - Accent6 5 4 2" xfId="475" xr:uid="{00000000-0005-0000-0000-0000DA010000}"/>
    <cellStyle name="20% - Accent6 5 5" xfId="476" xr:uid="{00000000-0005-0000-0000-0000DB010000}"/>
    <cellStyle name="20% - Accent6 5 5 2" xfId="477" xr:uid="{00000000-0005-0000-0000-0000DC010000}"/>
    <cellStyle name="20% - Accent6 5 6" xfId="478" xr:uid="{00000000-0005-0000-0000-0000DD010000}"/>
    <cellStyle name="20% - Accent6 6" xfId="479" xr:uid="{00000000-0005-0000-0000-0000DE010000}"/>
    <cellStyle name="20% - Accent6 6 2" xfId="480" xr:uid="{00000000-0005-0000-0000-0000DF010000}"/>
    <cellStyle name="20% - Accent6 6 2 2" xfId="481" xr:uid="{00000000-0005-0000-0000-0000E0010000}"/>
    <cellStyle name="20% - Accent6 6 3" xfId="482" xr:uid="{00000000-0005-0000-0000-0000E1010000}"/>
    <cellStyle name="20% - Accent6 6 3 2" xfId="483" xr:uid="{00000000-0005-0000-0000-0000E2010000}"/>
    <cellStyle name="20% - Accent6 6 4" xfId="484" xr:uid="{00000000-0005-0000-0000-0000E3010000}"/>
    <cellStyle name="20% - Accent6 6 4 2" xfId="485" xr:uid="{00000000-0005-0000-0000-0000E4010000}"/>
    <cellStyle name="20% - Accent6 6 5" xfId="486" xr:uid="{00000000-0005-0000-0000-0000E5010000}"/>
    <cellStyle name="20% - Accent6 6 5 2" xfId="487" xr:uid="{00000000-0005-0000-0000-0000E6010000}"/>
    <cellStyle name="20% - Accent6 6 6" xfId="488" xr:uid="{00000000-0005-0000-0000-0000E7010000}"/>
    <cellStyle name="20% - Accent6 7" xfId="489" xr:uid="{00000000-0005-0000-0000-0000E8010000}"/>
    <cellStyle name="20% - Accent6 7 2" xfId="490" xr:uid="{00000000-0005-0000-0000-0000E9010000}"/>
    <cellStyle name="20% - Accent6 7 2 2" xfId="491" xr:uid="{00000000-0005-0000-0000-0000EA010000}"/>
    <cellStyle name="20% - Accent6 7 3" xfId="492" xr:uid="{00000000-0005-0000-0000-0000EB010000}"/>
    <cellStyle name="20% - Accent6 7 3 2" xfId="493" xr:uid="{00000000-0005-0000-0000-0000EC010000}"/>
    <cellStyle name="20% - Accent6 7 4" xfId="494" xr:uid="{00000000-0005-0000-0000-0000ED010000}"/>
    <cellStyle name="20% - Accent6 7 4 2" xfId="495" xr:uid="{00000000-0005-0000-0000-0000EE010000}"/>
    <cellStyle name="20% - Accent6 7 5" xfId="496" xr:uid="{00000000-0005-0000-0000-0000EF010000}"/>
    <cellStyle name="20% - Accent6 7 5 2" xfId="497" xr:uid="{00000000-0005-0000-0000-0000F0010000}"/>
    <cellStyle name="20% - Accent6 7 6" xfId="498" xr:uid="{00000000-0005-0000-0000-0000F1010000}"/>
    <cellStyle name="20% - Accent6 8" xfId="499" xr:uid="{00000000-0005-0000-0000-0000F2010000}"/>
    <cellStyle name="20% - Accent6 8 2" xfId="500" xr:uid="{00000000-0005-0000-0000-0000F3010000}"/>
    <cellStyle name="20% - Accent6 8 2 2" xfId="501" xr:uid="{00000000-0005-0000-0000-0000F4010000}"/>
    <cellStyle name="20% - Accent6 8 3" xfId="502" xr:uid="{00000000-0005-0000-0000-0000F5010000}"/>
    <cellStyle name="20% - Accent6 8 3 2" xfId="503" xr:uid="{00000000-0005-0000-0000-0000F6010000}"/>
    <cellStyle name="20% - Accent6 8 4" xfId="504" xr:uid="{00000000-0005-0000-0000-0000F7010000}"/>
    <cellStyle name="20% - Accent6 8 4 2" xfId="505" xr:uid="{00000000-0005-0000-0000-0000F8010000}"/>
    <cellStyle name="20% - Accent6 8 5" xfId="506" xr:uid="{00000000-0005-0000-0000-0000F9010000}"/>
    <cellStyle name="20% - Accent6 8 5 2" xfId="507" xr:uid="{00000000-0005-0000-0000-0000FA010000}"/>
    <cellStyle name="20% - Accent6 8 6" xfId="508" xr:uid="{00000000-0005-0000-0000-0000FB010000}"/>
    <cellStyle name="20% - Accent6 9" xfId="509" xr:uid="{00000000-0005-0000-0000-0000FC010000}"/>
    <cellStyle name="20% - Accent6 9 2" xfId="510" xr:uid="{00000000-0005-0000-0000-0000FD010000}"/>
    <cellStyle name="40% - Accent1 10" xfId="511" xr:uid="{00000000-0005-0000-0000-0000FE010000}"/>
    <cellStyle name="40% - Accent1 11" xfId="512" xr:uid="{00000000-0005-0000-0000-0000FF010000}"/>
    <cellStyle name="40% - Accent1 12" xfId="513" xr:uid="{00000000-0005-0000-0000-000000020000}"/>
    <cellStyle name="40% - Accent1 13" xfId="514" xr:uid="{00000000-0005-0000-0000-000001020000}"/>
    <cellStyle name="40% - Accent1 14" xfId="515" xr:uid="{00000000-0005-0000-0000-000002020000}"/>
    <cellStyle name="40% - Accent1 15" xfId="516" xr:uid="{00000000-0005-0000-0000-000003020000}"/>
    <cellStyle name="40% - Accent1 16" xfId="517" xr:uid="{00000000-0005-0000-0000-000004020000}"/>
    <cellStyle name="40% - Accent1 17" xfId="518" xr:uid="{00000000-0005-0000-0000-000005020000}"/>
    <cellStyle name="40% - Accent1 18" xfId="519" xr:uid="{00000000-0005-0000-0000-000006020000}"/>
    <cellStyle name="40% - Accent1 19" xfId="520" xr:uid="{00000000-0005-0000-0000-000007020000}"/>
    <cellStyle name="40% - Accent1 2" xfId="521" xr:uid="{00000000-0005-0000-0000-000008020000}"/>
    <cellStyle name="40% - Accent1 2 2" xfId="522" xr:uid="{00000000-0005-0000-0000-000009020000}"/>
    <cellStyle name="40% - Accent1 2 2 2" xfId="523" xr:uid="{00000000-0005-0000-0000-00000A020000}"/>
    <cellStyle name="40% - Accent1 2 3" xfId="524" xr:uid="{00000000-0005-0000-0000-00000B020000}"/>
    <cellStyle name="40% - Accent1 2 3 2" xfId="525" xr:uid="{00000000-0005-0000-0000-00000C020000}"/>
    <cellStyle name="40% - Accent1 2 4" xfId="526" xr:uid="{00000000-0005-0000-0000-00000D020000}"/>
    <cellStyle name="40% - Accent1 2 4 2" xfId="527" xr:uid="{00000000-0005-0000-0000-00000E020000}"/>
    <cellStyle name="40% - Accent1 2 5" xfId="528" xr:uid="{00000000-0005-0000-0000-00000F020000}"/>
    <cellStyle name="40% - Accent1 2 5 2" xfId="529" xr:uid="{00000000-0005-0000-0000-000010020000}"/>
    <cellStyle name="40% - Accent1 2 6" xfId="530" xr:uid="{00000000-0005-0000-0000-000011020000}"/>
    <cellStyle name="40% - Accent1 20" xfId="531" xr:uid="{00000000-0005-0000-0000-000012020000}"/>
    <cellStyle name="40% - Accent1 21" xfId="532" xr:uid="{00000000-0005-0000-0000-000013020000}"/>
    <cellStyle name="40% - Accent1 22" xfId="533" xr:uid="{00000000-0005-0000-0000-000014020000}"/>
    <cellStyle name="40% - Accent1 3" xfId="534" xr:uid="{00000000-0005-0000-0000-000015020000}"/>
    <cellStyle name="40% - Accent1 3 2" xfId="535" xr:uid="{00000000-0005-0000-0000-000016020000}"/>
    <cellStyle name="40% - Accent1 3 2 2" xfId="536" xr:uid="{00000000-0005-0000-0000-000017020000}"/>
    <cellStyle name="40% - Accent1 3 3" xfId="537" xr:uid="{00000000-0005-0000-0000-000018020000}"/>
    <cellStyle name="40% - Accent1 3 3 2" xfId="538" xr:uid="{00000000-0005-0000-0000-000019020000}"/>
    <cellStyle name="40% - Accent1 3 4" xfId="539" xr:uid="{00000000-0005-0000-0000-00001A020000}"/>
    <cellStyle name="40% - Accent1 3 4 2" xfId="540" xr:uid="{00000000-0005-0000-0000-00001B020000}"/>
    <cellStyle name="40% - Accent1 3 5" xfId="541" xr:uid="{00000000-0005-0000-0000-00001C020000}"/>
    <cellStyle name="40% - Accent1 3 5 2" xfId="542" xr:uid="{00000000-0005-0000-0000-00001D020000}"/>
    <cellStyle name="40% - Accent1 3 6" xfId="543" xr:uid="{00000000-0005-0000-0000-00001E020000}"/>
    <cellStyle name="40% - Accent1 4" xfId="544" xr:uid="{00000000-0005-0000-0000-00001F020000}"/>
    <cellStyle name="40% - Accent1 4 2" xfId="545" xr:uid="{00000000-0005-0000-0000-000020020000}"/>
    <cellStyle name="40% - Accent1 4 2 2" xfId="546" xr:uid="{00000000-0005-0000-0000-000021020000}"/>
    <cellStyle name="40% - Accent1 4 3" xfId="547" xr:uid="{00000000-0005-0000-0000-000022020000}"/>
    <cellStyle name="40% - Accent1 4 3 2" xfId="548" xr:uid="{00000000-0005-0000-0000-000023020000}"/>
    <cellStyle name="40% - Accent1 4 4" xfId="549" xr:uid="{00000000-0005-0000-0000-000024020000}"/>
    <cellStyle name="40% - Accent1 4 4 2" xfId="550" xr:uid="{00000000-0005-0000-0000-000025020000}"/>
    <cellStyle name="40% - Accent1 4 5" xfId="551" xr:uid="{00000000-0005-0000-0000-000026020000}"/>
    <cellStyle name="40% - Accent1 4 5 2" xfId="552" xr:uid="{00000000-0005-0000-0000-000027020000}"/>
    <cellStyle name="40% - Accent1 4 6" xfId="553" xr:uid="{00000000-0005-0000-0000-000028020000}"/>
    <cellStyle name="40% - Accent1 5" xfId="554" xr:uid="{00000000-0005-0000-0000-000029020000}"/>
    <cellStyle name="40% - Accent1 5 2" xfId="555" xr:uid="{00000000-0005-0000-0000-00002A020000}"/>
    <cellStyle name="40% - Accent1 5 2 2" xfId="556" xr:uid="{00000000-0005-0000-0000-00002B020000}"/>
    <cellStyle name="40% - Accent1 5 3" xfId="557" xr:uid="{00000000-0005-0000-0000-00002C020000}"/>
    <cellStyle name="40% - Accent1 5 3 2" xfId="558" xr:uid="{00000000-0005-0000-0000-00002D020000}"/>
    <cellStyle name="40% - Accent1 5 4" xfId="559" xr:uid="{00000000-0005-0000-0000-00002E020000}"/>
    <cellStyle name="40% - Accent1 5 4 2" xfId="560" xr:uid="{00000000-0005-0000-0000-00002F020000}"/>
    <cellStyle name="40% - Accent1 5 5" xfId="561" xr:uid="{00000000-0005-0000-0000-000030020000}"/>
    <cellStyle name="40% - Accent1 5 5 2" xfId="562" xr:uid="{00000000-0005-0000-0000-000031020000}"/>
    <cellStyle name="40% - Accent1 5 6" xfId="563" xr:uid="{00000000-0005-0000-0000-000032020000}"/>
    <cellStyle name="40% - Accent1 6" xfId="564" xr:uid="{00000000-0005-0000-0000-000033020000}"/>
    <cellStyle name="40% - Accent1 6 2" xfId="565" xr:uid="{00000000-0005-0000-0000-000034020000}"/>
    <cellStyle name="40% - Accent1 6 2 2" xfId="566" xr:uid="{00000000-0005-0000-0000-000035020000}"/>
    <cellStyle name="40% - Accent1 6 3" xfId="567" xr:uid="{00000000-0005-0000-0000-000036020000}"/>
    <cellStyle name="40% - Accent1 6 3 2" xfId="568" xr:uid="{00000000-0005-0000-0000-000037020000}"/>
    <cellStyle name="40% - Accent1 6 4" xfId="569" xr:uid="{00000000-0005-0000-0000-000038020000}"/>
    <cellStyle name="40% - Accent1 6 4 2" xfId="570" xr:uid="{00000000-0005-0000-0000-000039020000}"/>
    <cellStyle name="40% - Accent1 6 5" xfId="571" xr:uid="{00000000-0005-0000-0000-00003A020000}"/>
    <cellStyle name="40% - Accent1 6 5 2" xfId="572" xr:uid="{00000000-0005-0000-0000-00003B020000}"/>
    <cellStyle name="40% - Accent1 6 6" xfId="573" xr:uid="{00000000-0005-0000-0000-00003C020000}"/>
    <cellStyle name="40% - Accent1 7" xfId="574" xr:uid="{00000000-0005-0000-0000-00003D020000}"/>
    <cellStyle name="40% - Accent1 7 2" xfId="575" xr:uid="{00000000-0005-0000-0000-00003E020000}"/>
    <cellStyle name="40% - Accent1 7 2 2" xfId="576" xr:uid="{00000000-0005-0000-0000-00003F020000}"/>
    <cellStyle name="40% - Accent1 7 3" xfId="577" xr:uid="{00000000-0005-0000-0000-000040020000}"/>
    <cellStyle name="40% - Accent1 7 3 2" xfId="578" xr:uid="{00000000-0005-0000-0000-000041020000}"/>
    <cellStyle name="40% - Accent1 7 4" xfId="579" xr:uid="{00000000-0005-0000-0000-000042020000}"/>
    <cellStyle name="40% - Accent1 7 4 2" xfId="580" xr:uid="{00000000-0005-0000-0000-000043020000}"/>
    <cellStyle name="40% - Accent1 7 5" xfId="581" xr:uid="{00000000-0005-0000-0000-000044020000}"/>
    <cellStyle name="40% - Accent1 7 5 2" xfId="582" xr:uid="{00000000-0005-0000-0000-000045020000}"/>
    <cellStyle name="40% - Accent1 7 6" xfId="583" xr:uid="{00000000-0005-0000-0000-000046020000}"/>
    <cellStyle name="40% - Accent1 8" xfId="584" xr:uid="{00000000-0005-0000-0000-000047020000}"/>
    <cellStyle name="40% - Accent1 8 2" xfId="585" xr:uid="{00000000-0005-0000-0000-000048020000}"/>
    <cellStyle name="40% - Accent1 8 2 2" xfId="586" xr:uid="{00000000-0005-0000-0000-000049020000}"/>
    <cellStyle name="40% - Accent1 8 3" xfId="587" xr:uid="{00000000-0005-0000-0000-00004A020000}"/>
    <cellStyle name="40% - Accent1 8 3 2" xfId="588" xr:uid="{00000000-0005-0000-0000-00004B020000}"/>
    <cellStyle name="40% - Accent1 8 4" xfId="589" xr:uid="{00000000-0005-0000-0000-00004C020000}"/>
    <cellStyle name="40% - Accent1 8 4 2" xfId="590" xr:uid="{00000000-0005-0000-0000-00004D020000}"/>
    <cellStyle name="40% - Accent1 8 5" xfId="591" xr:uid="{00000000-0005-0000-0000-00004E020000}"/>
    <cellStyle name="40% - Accent1 8 5 2" xfId="592" xr:uid="{00000000-0005-0000-0000-00004F020000}"/>
    <cellStyle name="40% - Accent1 8 6" xfId="593" xr:uid="{00000000-0005-0000-0000-000050020000}"/>
    <cellStyle name="40% - Accent1 9" xfId="594" xr:uid="{00000000-0005-0000-0000-000051020000}"/>
    <cellStyle name="40% - Accent1 9 2" xfId="595" xr:uid="{00000000-0005-0000-0000-000052020000}"/>
    <cellStyle name="40% - Accent2 10" xfId="596" xr:uid="{00000000-0005-0000-0000-000053020000}"/>
    <cellStyle name="40% - Accent2 11" xfId="597" xr:uid="{00000000-0005-0000-0000-000054020000}"/>
    <cellStyle name="40% - Accent2 12" xfId="598" xr:uid="{00000000-0005-0000-0000-000055020000}"/>
    <cellStyle name="40% - Accent2 13" xfId="599" xr:uid="{00000000-0005-0000-0000-000056020000}"/>
    <cellStyle name="40% - Accent2 14" xfId="600" xr:uid="{00000000-0005-0000-0000-000057020000}"/>
    <cellStyle name="40% - Accent2 15" xfId="601" xr:uid="{00000000-0005-0000-0000-000058020000}"/>
    <cellStyle name="40% - Accent2 16" xfId="602" xr:uid="{00000000-0005-0000-0000-000059020000}"/>
    <cellStyle name="40% - Accent2 17" xfId="603" xr:uid="{00000000-0005-0000-0000-00005A020000}"/>
    <cellStyle name="40% - Accent2 18" xfId="604" xr:uid="{00000000-0005-0000-0000-00005B020000}"/>
    <cellStyle name="40% - Accent2 19" xfId="605" xr:uid="{00000000-0005-0000-0000-00005C020000}"/>
    <cellStyle name="40% - Accent2 2" xfId="606" xr:uid="{00000000-0005-0000-0000-00005D020000}"/>
    <cellStyle name="40% - Accent2 2 2" xfId="607" xr:uid="{00000000-0005-0000-0000-00005E020000}"/>
    <cellStyle name="40% - Accent2 2 2 2" xfId="608" xr:uid="{00000000-0005-0000-0000-00005F020000}"/>
    <cellStyle name="40% - Accent2 2 3" xfId="609" xr:uid="{00000000-0005-0000-0000-000060020000}"/>
    <cellStyle name="40% - Accent2 2 3 2" xfId="610" xr:uid="{00000000-0005-0000-0000-000061020000}"/>
    <cellStyle name="40% - Accent2 2 4" xfId="611" xr:uid="{00000000-0005-0000-0000-000062020000}"/>
    <cellStyle name="40% - Accent2 2 4 2" xfId="612" xr:uid="{00000000-0005-0000-0000-000063020000}"/>
    <cellStyle name="40% - Accent2 2 5" xfId="613" xr:uid="{00000000-0005-0000-0000-000064020000}"/>
    <cellStyle name="40% - Accent2 2 5 2" xfId="614" xr:uid="{00000000-0005-0000-0000-000065020000}"/>
    <cellStyle name="40% - Accent2 2 6" xfId="615" xr:uid="{00000000-0005-0000-0000-000066020000}"/>
    <cellStyle name="40% - Accent2 20" xfId="616" xr:uid="{00000000-0005-0000-0000-000067020000}"/>
    <cellStyle name="40% - Accent2 21" xfId="617" xr:uid="{00000000-0005-0000-0000-000068020000}"/>
    <cellStyle name="40% - Accent2 22" xfId="618" xr:uid="{00000000-0005-0000-0000-000069020000}"/>
    <cellStyle name="40% - Accent2 3" xfId="619" xr:uid="{00000000-0005-0000-0000-00006A020000}"/>
    <cellStyle name="40% - Accent2 3 2" xfId="620" xr:uid="{00000000-0005-0000-0000-00006B020000}"/>
    <cellStyle name="40% - Accent2 3 2 2" xfId="621" xr:uid="{00000000-0005-0000-0000-00006C020000}"/>
    <cellStyle name="40% - Accent2 3 3" xfId="622" xr:uid="{00000000-0005-0000-0000-00006D020000}"/>
    <cellStyle name="40% - Accent2 3 3 2" xfId="623" xr:uid="{00000000-0005-0000-0000-00006E020000}"/>
    <cellStyle name="40% - Accent2 3 4" xfId="624" xr:uid="{00000000-0005-0000-0000-00006F020000}"/>
    <cellStyle name="40% - Accent2 3 4 2" xfId="625" xr:uid="{00000000-0005-0000-0000-000070020000}"/>
    <cellStyle name="40% - Accent2 3 5" xfId="626" xr:uid="{00000000-0005-0000-0000-000071020000}"/>
    <cellStyle name="40% - Accent2 3 5 2" xfId="627" xr:uid="{00000000-0005-0000-0000-000072020000}"/>
    <cellStyle name="40% - Accent2 3 6" xfId="628" xr:uid="{00000000-0005-0000-0000-000073020000}"/>
    <cellStyle name="40% - Accent2 4" xfId="629" xr:uid="{00000000-0005-0000-0000-000074020000}"/>
    <cellStyle name="40% - Accent2 4 2" xfId="630" xr:uid="{00000000-0005-0000-0000-000075020000}"/>
    <cellStyle name="40% - Accent2 4 2 2" xfId="631" xr:uid="{00000000-0005-0000-0000-000076020000}"/>
    <cellStyle name="40% - Accent2 4 3" xfId="632" xr:uid="{00000000-0005-0000-0000-000077020000}"/>
    <cellStyle name="40% - Accent2 4 3 2" xfId="633" xr:uid="{00000000-0005-0000-0000-000078020000}"/>
    <cellStyle name="40% - Accent2 4 4" xfId="634" xr:uid="{00000000-0005-0000-0000-000079020000}"/>
    <cellStyle name="40% - Accent2 4 4 2" xfId="635" xr:uid="{00000000-0005-0000-0000-00007A020000}"/>
    <cellStyle name="40% - Accent2 4 5" xfId="636" xr:uid="{00000000-0005-0000-0000-00007B020000}"/>
    <cellStyle name="40% - Accent2 4 5 2" xfId="637" xr:uid="{00000000-0005-0000-0000-00007C020000}"/>
    <cellStyle name="40% - Accent2 4 6" xfId="638" xr:uid="{00000000-0005-0000-0000-00007D020000}"/>
    <cellStyle name="40% - Accent2 5" xfId="639" xr:uid="{00000000-0005-0000-0000-00007E020000}"/>
    <cellStyle name="40% - Accent2 5 2" xfId="640" xr:uid="{00000000-0005-0000-0000-00007F020000}"/>
    <cellStyle name="40% - Accent2 5 2 2" xfId="641" xr:uid="{00000000-0005-0000-0000-000080020000}"/>
    <cellStyle name="40% - Accent2 5 3" xfId="642" xr:uid="{00000000-0005-0000-0000-000081020000}"/>
    <cellStyle name="40% - Accent2 5 3 2" xfId="643" xr:uid="{00000000-0005-0000-0000-000082020000}"/>
    <cellStyle name="40% - Accent2 5 4" xfId="644" xr:uid="{00000000-0005-0000-0000-000083020000}"/>
    <cellStyle name="40% - Accent2 5 4 2" xfId="645" xr:uid="{00000000-0005-0000-0000-000084020000}"/>
    <cellStyle name="40% - Accent2 5 5" xfId="646" xr:uid="{00000000-0005-0000-0000-000085020000}"/>
    <cellStyle name="40% - Accent2 5 5 2" xfId="647" xr:uid="{00000000-0005-0000-0000-000086020000}"/>
    <cellStyle name="40% - Accent2 5 6" xfId="648" xr:uid="{00000000-0005-0000-0000-000087020000}"/>
    <cellStyle name="40% - Accent2 6" xfId="649" xr:uid="{00000000-0005-0000-0000-000088020000}"/>
    <cellStyle name="40% - Accent2 6 2" xfId="650" xr:uid="{00000000-0005-0000-0000-000089020000}"/>
    <cellStyle name="40% - Accent2 6 2 2" xfId="651" xr:uid="{00000000-0005-0000-0000-00008A020000}"/>
    <cellStyle name="40% - Accent2 6 3" xfId="652" xr:uid="{00000000-0005-0000-0000-00008B020000}"/>
    <cellStyle name="40% - Accent2 6 3 2" xfId="653" xr:uid="{00000000-0005-0000-0000-00008C020000}"/>
    <cellStyle name="40% - Accent2 6 4" xfId="654" xr:uid="{00000000-0005-0000-0000-00008D020000}"/>
    <cellStyle name="40% - Accent2 6 4 2" xfId="655" xr:uid="{00000000-0005-0000-0000-00008E020000}"/>
    <cellStyle name="40% - Accent2 6 5" xfId="656" xr:uid="{00000000-0005-0000-0000-00008F020000}"/>
    <cellStyle name="40% - Accent2 6 5 2" xfId="657" xr:uid="{00000000-0005-0000-0000-000090020000}"/>
    <cellStyle name="40% - Accent2 6 6" xfId="658" xr:uid="{00000000-0005-0000-0000-000091020000}"/>
    <cellStyle name="40% - Accent2 7" xfId="659" xr:uid="{00000000-0005-0000-0000-000092020000}"/>
    <cellStyle name="40% - Accent2 7 2" xfId="660" xr:uid="{00000000-0005-0000-0000-000093020000}"/>
    <cellStyle name="40% - Accent2 7 2 2" xfId="661" xr:uid="{00000000-0005-0000-0000-000094020000}"/>
    <cellStyle name="40% - Accent2 7 3" xfId="662" xr:uid="{00000000-0005-0000-0000-000095020000}"/>
    <cellStyle name="40% - Accent2 7 3 2" xfId="663" xr:uid="{00000000-0005-0000-0000-000096020000}"/>
    <cellStyle name="40% - Accent2 7 4" xfId="664" xr:uid="{00000000-0005-0000-0000-000097020000}"/>
    <cellStyle name="40% - Accent2 7 4 2" xfId="665" xr:uid="{00000000-0005-0000-0000-000098020000}"/>
    <cellStyle name="40% - Accent2 7 5" xfId="666" xr:uid="{00000000-0005-0000-0000-000099020000}"/>
    <cellStyle name="40% - Accent2 7 5 2" xfId="667" xr:uid="{00000000-0005-0000-0000-00009A020000}"/>
    <cellStyle name="40% - Accent2 7 6" xfId="668" xr:uid="{00000000-0005-0000-0000-00009B020000}"/>
    <cellStyle name="40% - Accent2 8" xfId="669" xr:uid="{00000000-0005-0000-0000-00009C020000}"/>
    <cellStyle name="40% - Accent2 8 2" xfId="670" xr:uid="{00000000-0005-0000-0000-00009D020000}"/>
    <cellStyle name="40% - Accent2 8 2 2" xfId="671" xr:uid="{00000000-0005-0000-0000-00009E020000}"/>
    <cellStyle name="40% - Accent2 8 3" xfId="672" xr:uid="{00000000-0005-0000-0000-00009F020000}"/>
    <cellStyle name="40% - Accent2 8 3 2" xfId="673" xr:uid="{00000000-0005-0000-0000-0000A0020000}"/>
    <cellStyle name="40% - Accent2 8 4" xfId="674" xr:uid="{00000000-0005-0000-0000-0000A1020000}"/>
    <cellStyle name="40% - Accent2 8 4 2" xfId="675" xr:uid="{00000000-0005-0000-0000-0000A2020000}"/>
    <cellStyle name="40% - Accent2 8 5" xfId="676" xr:uid="{00000000-0005-0000-0000-0000A3020000}"/>
    <cellStyle name="40% - Accent2 8 5 2" xfId="677" xr:uid="{00000000-0005-0000-0000-0000A4020000}"/>
    <cellStyle name="40% - Accent2 8 6" xfId="678" xr:uid="{00000000-0005-0000-0000-0000A5020000}"/>
    <cellStyle name="40% - Accent2 9" xfId="679" xr:uid="{00000000-0005-0000-0000-0000A6020000}"/>
    <cellStyle name="40% - Accent2 9 2" xfId="680" xr:uid="{00000000-0005-0000-0000-0000A7020000}"/>
    <cellStyle name="40% - Accent3 10" xfId="681" xr:uid="{00000000-0005-0000-0000-0000A8020000}"/>
    <cellStyle name="40% - Accent3 11" xfId="682" xr:uid="{00000000-0005-0000-0000-0000A9020000}"/>
    <cellStyle name="40% - Accent3 12" xfId="683" xr:uid="{00000000-0005-0000-0000-0000AA020000}"/>
    <cellStyle name="40% - Accent3 13" xfId="684" xr:uid="{00000000-0005-0000-0000-0000AB020000}"/>
    <cellStyle name="40% - Accent3 14" xfId="685" xr:uid="{00000000-0005-0000-0000-0000AC020000}"/>
    <cellStyle name="40% - Accent3 15" xfId="686" xr:uid="{00000000-0005-0000-0000-0000AD020000}"/>
    <cellStyle name="40% - Accent3 16" xfId="687" xr:uid="{00000000-0005-0000-0000-0000AE020000}"/>
    <cellStyle name="40% - Accent3 17" xfId="688" xr:uid="{00000000-0005-0000-0000-0000AF020000}"/>
    <cellStyle name="40% - Accent3 18" xfId="689" xr:uid="{00000000-0005-0000-0000-0000B0020000}"/>
    <cellStyle name="40% - Accent3 19" xfId="690" xr:uid="{00000000-0005-0000-0000-0000B1020000}"/>
    <cellStyle name="40% - Accent3 2" xfId="691" xr:uid="{00000000-0005-0000-0000-0000B2020000}"/>
    <cellStyle name="40% - Accent3 2 2" xfId="692" xr:uid="{00000000-0005-0000-0000-0000B3020000}"/>
    <cellStyle name="40% - Accent3 2 2 2" xfId="693" xr:uid="{00000000-0005-0000-0000-0000B4020000}"/>
    <cellStyle name="40% - Accent3 2 3" xfId="694" xr:uid="{00000000-0005-0000-0000-0000B5020000}"/>
    <cellStyle name="40% - Accent3 2 3 2" xfId="695" xr:uid="{00000000-0005-0000-0000-0000B6020000}"/>
    <cellStyle name="40% - Accent3 2 4" xfId="696" xr:uid="{00000000-0005-0000-0000-0000B7020000}"/>
    <cellStyle name="40% - Accent3 2 4 2" xfId="697" xr:uid="{00000000-0005-0000-0000-0000B8020000}"/>
    <cellStyle name="40% - Accent3 2 5" xfId="698" xr:uid="{00000000-0005-0000-0000-0000B9020000}"/>
    <cellStyle name="40% - Accent3 2 5 2" xfId="699" xr:uid="{00000000-0005-0000-0000-0000BA020000}"/>
    <cellStyle name="40% - Accent3 2 6" xfId="700" xr:uid="{00000000-0005-0000-0000-0000BB020000}"/>
    <cellStyle name="40% - Accent3 20" xfId="701" xr:uid="{00000000-0005-0000-0000-0000BC020000}"/>
    <cellStyle name="40% - Accent3 21" xfId="702" xr:uid="{00000000-0005-0000-0000-0000BD020000}"/>
    <cellStyle name="40% - Accent3 22" xfId="703" xr:uid="{00000000-0005-0000-0000-0000BE020000}"/>
    <cellStyle name="40% - Accent3 3" xfId="704" xr:uid="{00000000-0005-0000-0000-0000BF020000}"/>
    <cellStyle name="40% - Accent3 3 2" xfId="705" xr:uid="{00000000-0005-0000-0000-0000C0020000}"/>
    <cellStyle name="40% - Accent3 3 2 2" xfId="706" xr:uid="{00000000-0005-0000-0000-0000C1020000}"/>
    <cellStyle name="40% - Accent3 3 3" xfId="707" xr:uid="{00000000-0005-0000-0000-0000C2020000}"/>
    <cellStyle name="40% - Accent3 3 3 2" xfId="708" xr:uid="{00000000-0005-0000-0000-0000C3020000}"/>
    <cellStyle name="40% - Accent3 3 4" xfId="709" xr:uid="{00000000-0005-0000-0000-0000C4020000}"/>
    <cellStyle name="40% - Accent3 3 4 2" xfId="710" xr:uid="{00000000-0005-0000-0000-0000C5020000}"/>
    <cellStyle name="40% - Accent3 3 5" xfId="711" xr:uid="{00000000-0005-0000-0000-0000C6020000}"/>
    <cellStyle name="40% - Accent3 3 5 2" xfId="712" xr:uid="{00000000-0005-0000-0000-0000C7020000}"/>
    <cellStyle name="40% - Accent3 3 6" xfId="713" xr:uid="{00000000-0005-0000-0000-0000C8020000}"/>
    <cellStyle name="40% - Accent3 4" xfId="714" xr:uid="{00000000-0005-0000-0000-0000C9020000}"/>
    <cellStyle name="40% - Accent3 4 2" xfId="715" xr:uid="{00000000-0005-0000-0000-0000CA020000}"/>
    <cellStyle name="40% - Accent3 4 2 2" xfId="716" xr:uid="{00000000-0005-0000-0000-0000CB020000}"/>
    <cellStyle name="40% - Accent3 4 3" xfId="717" xr:uid="{00000000-0005-0000-0000-0000CC020000}"/>
    <cellStyle name="40% - Accent3 4 3 2" xfId="718" xr:uid="{00000000-0005-0000-0000-0000CD020000}"/>
    <cellStyle name="40% - Accent3 4 4" xfId="719" xr:uid="{00000000-0005-0000-0000-0000CE020000}"/>
    <cellStyle name="40% - Accent3 4 4 2" xfId="720" xr:uid="{00000000-0005-0000-0000-0000CF020000}"/>
    <cellStyle name="40% - Accent3 4 5" xfId="721" xr:uid="{00000000-0005-0000-0000-0000D0020000}"/>
    <cellStyle name="40% - Accent3 4 5 2" xfId="722" xr:uid="{00000000-0005-0000-0000-0000D1020000}"/>
    <cellStyle name="40% - Accent3 4 6" xfId="723" xr:uid="{00000000-0005-0000-0000-0000D2020000}"/>
    <cellStyle name="40% - Accent3 5" xfId="724" xr:uid="{00000000-0005-0000-0000-0000D3020000}"/>
    <cellStyle name="40% - Accent3 5 2" xfId="725" xr:uid="{00000000-0005-0000-0000-0000D4020000}"/>
    <cellStyle name="40% - Accent3 5 2 2" xfId="726" xr:uid="{00000000-0005-0000-0000-0000D5020000}"/>
    <cellStyle name="40% - Accent3 5 3" xfId="727" xr:uid="{00000000-0005-0000-0000-0000D6020000}"/>
    <cellStyle name="40% - Accent3 5 3 2" xfId="728" xr:uid="{00000000-0005-0000-0000-0000D7020000}"/>
    <cellStyle name="40% - Accent3 5 4" xfId="729" xr:uid="{00000000-0005-0000-0000-0000D8020000}"/>
    <cellStyle name="40% - Accent3 5 4 2" xfId="730" xr:uid="{00000000-0005-0000-0000-0000D9020000}"/>
    <cellStyle name="40% - Accent3 5 5" xfId="731" xr:uid="{00000000-0005-0000-0000-0000DA020000}"/>
    <cellStyle name="40% - Accent3 5 5 2" xfId="732" xr:uid="{00000000-0005-0000-0000-0000DB020000}"/>
    <cellStyle name="40% - Accent3 5 6" xfId="733" xr:uid="{00000000-0005-0000-0000-0000DC020000}"/>
    <cellStyle name="40% - Accent3 6" xfId="734" xr:uid="{00000000-0005-0000-0000-0000DD020000}"/>
    <cellStyle name="40% - Accent3 6 2" xfId="735" xr:uid="{00000000-0005-0000-0000-0000DE020000}"/>
    <cellStyle name="40% - Accent3 6 2 2" xfId="736" xr:uid="{00000000-0005-0000-0000-0000DF020000}"/>
    <cellStyle name="40% - Accent3 6 3" xfId="737" xr:uid="{00000000-0005-0000-0000-0000E0020000}"/>
    <cellStyle name="40% - Accent3 6 3 2" xfId="738" xr:uid="{00000000-0005-0000-0000-0000E1020000}"/>
    <cellStyle name="40% - Accent3 6 4" xfId="739" xr:uid="{00000000-0005-0000-0000-0000E2020000}"/>
    <cellStyle name="40% - Accent3 6 4 2" xfId="740" xr:uid="{00000000-0005-0000-0000-0000E3020000}"/>
    <cellStyle name="40% - Accent3 6 5" xfId="741" xr:uid="{00000000-0005-0000-0000-0000E4020000}"/>
    <cellStyle name="40% - Accent3 6 5 2" xfId="742" xr:uid="{00000000-0005-0000-0000-0000E5020000}"/>
    <cellStyle name="40% - Accent3 6 6" xfId="743" xr:uid="{00000000-0005-0000-0000-0000E6020000}"/>
    <cellStyle name="40% - Accent3 7" xfId="744" xr:uid="{00000000-0005-0000-0000-0000E7020000}"/>
    <cellStyle name="40% - Accent3 7 2" xfId="745" xr:uid="{00000000-0005-0000-0000-0000E8020000}"/>
    <cellStyle name="40% - Accent3 7 2 2" xfId="746" xr:uid="{00000000-0005-0000-0000-0000E9020000}"/>
    <cellStyle name="40% - Accent3 7 3" xfId="747" xr:uid="{00000000-0005-0000-0000-0000EA020000}"/>
    <cellStyle name="40% - Accent3 7 3 2" xfId="748" xr:uid="{00000000-0005-0000-0000-0000EB020000}"/>
    <cellStyle name="40% - Accent3 7 4" xfId="749" xr:uid="{00000000-0005-0000-0000-0000EC020000}"/>
    <cellStyle name="40% - Accent3 7 4 2" xfId="750" xr:uid="{00000000-0005-0000-0000-0000ED020000}"/>
    <cellStyle name="40% - Accent3 7 5" xfId="751" xr:uid="{00000000-0005-0000-0000-0000EE020000}"/>
    <cellStyle name="40% - Accent3 7 5 2" xfId="752" xr:uid="{00000000-0005-0000-0000-0000EF020000}"/>
    <cellStyle name="40% - Accent3 7 6" xfId="753" xr:uid="{00000000-0005-0000-0000-0000F0020000}"/>
    <cellStyle name="40% - Accent3 8" xfId="754" xr:uid="{00000000-0005-0000-0000-0000F1020000}"/>
    <cellStyle name="40% - Accent3 8 2" xfId="755" xr:uid="{00000000-0005-0000-0000-0000F2020000}"/>
    <cellStyle name="40% - Accent3 8 2 2" xfId="756" xr:uid="{00000000-0005-0000-0000-0000F3020000}"/>
    <cellStyle name="40% - Accent3 8 3" xfId="757" xr:uid="{00000000-0005-0000-0000-0000F4020000}"/>
    <cellStyle name="40% - Accent3 8 3 2" xfId="758" xr:uid="{00000000-0005-0000-0000-0000F5020000}"/>
    <cellStyle name="40% - Accent3 8 4" xfId="759" xr:uid="{00000000-0005-0000-0000-0000F6020000}"/>
    <cellStyle name="40% - Accent3 8 4 2" xfId="760" xr:uid="{00000000-0005-0000-0000-0000F7020000}"/>
    <cellStyle name="40% - Accent3 8 5" xfId="761" xr:uid="{00000000-0005-0000-0000-0000F8020000}"/>
    <cellStyle name="40% - Accent3 8 5 2" xfId="762" xr:uid="{00000000-0005-0000-0000-0000F9020000}"/>
    <cellStyle name="40% - Accent3 8 6" xfId="763" xr:uid="{00000000-0005-0000-0000-0000FA020000}"/>
    <cellStyle name="40% - Accent3 9" xfId="764" xr:uid="{00000000-0005-0000-0000-0000FB020000}"/>
    <cellStyle name="40% - Accent3 9 2" xfId="765" xr:uid="{00000000-0005-0000-0000-0000FC020000}"/>
    <cellStyle name="40% - Accent4 10" xfId="766" xr:uid="{00000000-0005-0000-0000-0000FD020000}"/>
    <cellStyle name="40% - Accent4 11" xfId="767" xr:uid="{00000000-0005-0000-0000-0000FE020000}"/>
    <cellStyle name="40% - Accent4 12" xfId="768" xr:uid="{00000000-0005-0000-0000-0000FF020000}"/>
    <cellStyle name="40% - Accent4 13" xfId="769" xr:uid="{00000000-0005-0000-0000-000000030000}"/>
    <cellStyle name="40% - Accent4 14" xfId="770" xr:uid="{00000000-0005-0000-0000-000001030000}"/>
    <cellStyle name="40% - Accent4 15" xfId="771" xr:uid="{00000000-0005-0000-0000-000002030000}"/>
    <cellStyle name="40% - Accent4 16" xfId="772" xr:uid="{00000000-0005-0000-0000-000003030000}"/>
    <cellStyle name="40% - Accent4 17" xfId="773" xr:uid="{00000000-0005-0000-0000-000004030000}"/>
    <cellStyle name="40% - Accent4 18" xfId="774" xr:uid="{00000000-0005-0000-0000-000005030000}"/>
    <cellStyle name="40% - Accent4 19" xfId="775" xr:uid="{00000000-0005-0000-0000-000006030000}"/>
    <cellStyle name="40% - Accent4 2" xfId="776" xr:uid="{00000000-0005-0000-0000-000007030000}"/>
    <cellStyle name="40% - Accent4 2 2" xfId="777" xr:uid="{00000000-0005-0000-0000-000008030000}"/>
    <cellStyle name="40% - Accent4 2 2 2" xfId="778" xr:uid="{00000000-0005-0000-0000-000009030000}"/>
    <cellStyle name="40% - Accent4 2 3" xfId="779" xr:uid="{00000000-0005-0000-0000-00000A030000}"/>
    <cellStyle name="40% - Accent4 2 3 2" xfId="780" xr:uid="{00000000-0005-0000-0000-00000B030000}"/>
    <cellStyle name="40% - Accent4 2 4" xfId="781" xr:uid="{00000000-0005-0000-0000-00000C030000}"/>
    <cellStyle name="40% - Accent4 2 4 2" xfId="782" xr:uid="{00000000-0005-0000-0000-00000D030000}"/>
    <cellStyle name="40% - Accent4 2 5" xfId="783" xr:uid="{00000000-0005-0000-0000-00000E030000}"/>
    <cellStyle name="40% - Accent4 2 5 2" xfId="784" xr:uid="{00000000-0005-0000-0000-00000F030000}"/>
    <cellStyle name="40% - Accent4 2 6" xfId="785" xr:uid="{00000000-0005-0000-0000-000010030000}"/>
    <cellStyle name="40% - Accent4 20" xfId="786" xr:uid="{00000000-0005-0000-0000-000011030000}"/>
    <cellStyle name="40% - Accent4 21" xfId="787" xr:uid="{00000000-0005-0000-0000-000012030000}"/>
    <cellStyle name="40% - Accent4 22" xfId="788" xr:uid="{00000000-0005-0000-0000-000013030000}"/>
    <cellStyle name="40% - Accent4 3" xfId="789" xr:uid="{00000000-0005-0000-0000-000014030000}"/>
    <cellStyle name="40% - Accent4 3 2" xfId="790" xr:uid="{00000000-0005-0000-0000-000015030000}"/>
    <cellStyle name="40% - Accent4 3 2 2" xfId="791" xr:uid="{00000000-0005-0000-0000-000016030000}"/>
    <cellStyle name="40% - Accent4 3 3" xfId="792" xr:uid="{00000000-0005-0000-0000-000017030000}"/>
    <cellStyle name="40% - Accent4 3 3 2" xfId="793" xr:uid="{00000000-0005-0000-0000-000018030000}"/>
    <cellStyle name="40% - Accent4 3 4" xfId="794" xr:uid="{00000000-0005-0000-0000-000019030000}"/>
    <cellStyle name="40% - Accent4 3 4 2" xfId="795" xr:uid="{00000000-0005-0000-0000-00001A030000}"/>
    <cellStyle name="40% - Accent4 3 5" xfId="796" xr:uid="{00000000-0005-0000-0000-00001B030000}"/>
    <cellStyle name="40% - Accent4 3 5 2" xfId="797" xr:uid="{00000000-0005-0000-0000-00001C030000}"/>
    <cellStyle name="40% - Accent4 3 6" xfId="798" xr:uid="{00000000-0005-0000-0000-00001D030000}"/>
    <cellStyle name="40% - Accent4 4" xfId="799" xr:uid="{00000000-0005-0000-0000-00001E030000}"/>
    <cellStyle name="40% - Accent4 4 2" xfId="800" xr:uid="{00000000-0005-0000-0000-00001F030000}"/>
    <cellStyle name="40% - Accent4 4 2 2" xfId="801" xr:uid="{00000000-0005-0000-0000-000020030000}"/>
    <cellStyle name="40% - Accent4 4 3" xfId="802" xr:uid="{00000000-0005-0000-0000-000021030000}"/>
    <cellStyle name="40% - Accent4 4 3 2" xfId="803" xr:uid="{00000000-0005-0000-0000-000022030000}"/>
    <cellStyle name="40% - Accent4 4 4" xfId="804" xr:uid="{00000000-0005-0000-0000-000023030000}"/>
    <cellStyle name="40% - Accent4 4 4 2" xfId="805" xr:uid="{00000000-0005-0000-0000-000024030000}"/>
    <cellStyle name="40% - Accent4 4 5" xfId="806" xr:uid="{00000000-0005-0000-0000-000025030000}"/>
    <cellStyle name="40% - Accent4 4 5 2" xfId="807" xr:uid="{00000000-0005-0000-0000-000026030000}"/>
    <cellStyle name="40% - Accent4 4 6" xfId="808" xr:uid="{00000000-0005-0000-0000-000027030000}"/>
    <cellStyle name="40% - Accent4 5" xfId="809" xr:uid="{00000000-0005-0000-0000-000028030000}"/>
    <cellStyle name="40% - Accent4 5 2" xfId="810" xr:uid="{00000000-0005-0000-0000-000029030000}"/>
    <cellStyle name="40% - Accent4 5 2 2" xfId="811" xr:uid="{00000000-0005-0000-0000-00002A030000}"/>
    <cellStyle name="40% - Accent4 5 3" xfId="812" xr:uid="{00000000-0005-0000-0000-00002B030000}"/>
    <cellStyle name="40% - Accent4 5 3 2" xfId="813" xr:uid="{00000000-0005-0000-0000-00002C030000}"/>
    <cellStyle name="40% - Accent4 5 4" xfId="814" xr:uid="{00000000-0005-0000-0000-00002D030000}"/>
    <cellStyle name="40% - Accent4 5 4 2" xfId="815" xr:uid="{00000000-0005-0000-0000-00002E030000}"/>
    <cellStyle name="40% - Accent4 5 5" xfId="816" xr:uid="{00000000-0005-0000-0000-00002F030000}"/>
    <cellStyle name="40% - Accent4 5 5 2" xfId="817" xr:uid="{00000000-0005-0000-0000-000030030000}"/>
    <cellStyle name="40% - Accent4 5 6" xfId="818" xr:uid="{00000000-0005-0000-0000-000031030000}"/>
    <cellStyle name="40% - Accent4 6" xfId="819" xr:uid="{00000000-0005-0000-0000-000032030000}"/>
    <cellStyle name="40% - Accent4 6 2" xfId="820" xr:uid="{00000000-0005-0000-0000-000033030000}"/>
    <cellStyle name="40% - Accent4 6 2 2" xfId="821" xr:uid="{00000000-0005-0000-0000-000034030000}"/>
    <cellStyle name="40% - Accent4 6 3" xfId="822" xr:uid="{00000000-0005-0000-0000-000035030000}"/>
    <cellStyle name="40% - Accent4 6 3 2" xfId="823" xr:uid="{00000000-0005-0000-0000-000036030000}"/>
    <cellStyle name="40% - Accent4 6 4" xfId="824" xr:uid="{00000000-0005-0000-0000-000037030000}"/>
    <cellStyle name="40% - Accent4 6 4 2" xfId="825" xr:uid="{00000000-0005-0000-0000-000038030000}"/>
    <cellStyle name="40% - Accent4 6 5" xfId="826" xr:uid="{00000000-0005-0000-0000-000039030000}"/>
    <cellStyle name="40% - Accent4 6 5 2" xfId="827" xr:uid="{00000000-0005-0000-0000-00003A030000}"/>
    <cellStyle name="40% - Accent4 6 6" xfId="828" xr:uid="{00000000-0005-0000-0000-00003B030000}"/>
    <cellStyle name="40% - Accent4 7" xfId="829" xr:uid="{00000000-0005-0000-0000-00003C030000}"/>
    <cellStyle name="40% - Accent4 7 2" xfId="830" xr:uid="{00000000-0005-0000-0000-00003D030000}"/>
    <cellStyle name="40% - Accent4 7 2 2" xfId="831" xr:uid="{00000000-0005-0000-0000-00003E030000}"/>
    <cellStyle name="40% - Accent4 7 3" xfId="832" xr:uid="{00000000-0005-0000-0000-00003F030000}"/>
    <cellStyle name="40% - Accent4 7 3 2" xfId="833" xr:uid="{00000000-0005-0000-0000-000040030000}"/>
    <cellStyle name="40% - Accent4 7 4" xfId="834" xr:uid="{00000000-0005-0000-0000-000041030000}"/>
    <cellStyle name="40% - Accent4 7 4 2" xfId="835" xr:uid="{00000000-0005-0000-0000-000042030000}"/>
    <cellStyle name="40% - Accent4 7 5" xfId="836" xr:uid="{00000000-0005-0000-0000-000043030000}"/>
    <cellStyle name="40% - Accent4 7 5 2" xfId="837" xr:uid="{00000000-0005-0000-0000-000044030000}"/>
    <cellStyle name="40% - Accent4 7 6" xfId="838" xr:uid="{00000000-0005-0000-0000-000045030000}"/>
    <cellStyle name="40% - Accent4 8" xfId="839" xr:uid="{00000000-0005-0000-0000-000046030000}"/>
    <cellStyle name="40% - Accent4 8 2" xfId="840" xr:uid="{00000000-0005-0000-0000-000047030000}"/>
    <cellStyle name="40% - Accent4 8 2 2" xfId="841" xr:uid="{00000000-0005-0000-0000-000048030000}"/>
    <cellStyle name="40% - Accent4 8 3" xfId="842" xr:uid="{00000000-0005-0000-0000-000049030000}"/>
    <cellStyle name="40% - Accent4 8 3 2" xfId="843" xr:uid="{00000000-0005-0000-0000-00004A030000}"/>
    <cellStyle name="40% - Accent4 8 4" xfId="844" xr:uid="{00000000-0005-0000-0000-00004B030000}"/>
    <cellStyle name="40% - Accent4 8 4 2" xfId="845" xr:uid="{00000000-0005-0000-0000-00004C030000}"/>
    <cellStyle name="40% - Accent4 8 5" xfId="846" xr:uid="{00000000-0005-0000-0000-00004D030000}"/>
    <cellStyle name="40% - Accent4 8 5 2" xfId="847" xr:uid="{00000000-0005-0000-0000-00004E030000}"/>
    <cellStyle name="40% - Accent4 8 6" xfId="848" xr:uid="{00000000-0005-0000-0000-00004F030000}"/>
    <cellStyle name="40% - Accent4 9" xfId="849" xr:uid="{00000000-0005-0000-0000-000050030000}"/>
    <cellStyle name="40% - Accent4 9 2" xfId="850" xr:uid="{00000000-0005-0000-0000-000051030000}"/>
    <cellStyle name="40% - Accent5 10" xfId="851" xr:uid="{00000000-0005-0000-0000-000052030000}"/>
    <cellStyle name="40% - Accent5 11" xfId="852" xr:uid="{00000000-0005-0000-0000-000053030000}"/>
    <cellStyle name="40% - Accent5 12" xfId="853" xr:uid="{00000000-0005-0000-0000-000054030000}"/>
    <cellStyle name="40% - Accent5 13" xfId="854" xr:uid="{00000000-0005-0000-0000-000055030000}"/>
    <cellStyle name="40% - Accent5 14" xfId="855" xr:uid="{00000000-0005-0000-0000-000056030000}"/>
    <cellStyle name="40% - Accent5 15" xfId="856" xr:uid="{00000000-0005-0000-0000-000057030000}"/>
    <cellStyle name="40% - Accent5 16" xfId="857" xr:uid="{00000000-0005-0000-0000-000058030000}"/>
    <cellStyle name="40% - Accent5 17" xfId="858" xr:uid="{00000000-0005-0000-0000-000059030000}"/>
    <cellStyle name="40% - Accent5 18" xfId="859" xr:uid="{00000000-0005-0000-0000-00005A030000}"/>
    <cellStyle name="40% - Accent5 19" xfId="860" xr:uid="{00000000-0005-0000-0000-00005B030000}"/>
    <cellStyle name="40% - Accent5 2" xfId="861" xr:uid="{00000000-0005-0000-0000-00005C030000}"/>
    <cellStyle name="40% - Accent5 2 2" xfId="862" xr:uid="{00000000-0005-0000-0000-00005D030000}"/>
    <cellStyle name="40% - Accent5 2 2 2" xfId="863" xr:uid="{00000000-0005-0000-0000-00005E030000}"/>
    <cellStyle name="40% - Accent5 2 3" xfId="864" xr:uid="{00000000-0005-0000-0000-00005F030000}"/>
    <cellStyle name="40% - Accent5 2 3 2" xfId="865" xr:uid="{00000000-0005-0000-0000-000060030000}"/>
    <cellStyle name="40% - Accent5 2 4" xfId="866" xr:uid="{00000000-0005-0000-0000-000061030000}"/>
    <cellStyle name="40% - Accent5 2 4 2" xfId="867" xr:uid="{00000000-0005-0000-0000-000062030000}"/>
    <cellStyle name="40% - Accent5 2 5" xfId="868" xr:uid="{00000000-0005-0000-0000-000063030000}"/>
    <cellStyle name="40% - Accent5 2 5 2" xfId="869" xr:uid="{00000000-0005-0000-0000-000064030000}"/>
    <cellStyle name="40% - Accent5 2 6" xfId="870" xr:uid="{00000000-0005-0000-0000-000065030000}"/>
    <cellStyle name="40% - Accent5 20" xfId="871" xr:uid="{00000000-0005-0000-0000-000066030000}"/>
    <cellStyle name="40% - Accent5 21" xfId="872" xr:uid="{00000000-0005-0000-0000-000067030000}"/>
    <cellStyle name="40% - Accent5 22" xfId="873" xr:uid="{00000000-0005-0000-0000-000068030000}"/>
    <cellStyle name="40% - Accent5 3" xfId="874" xr:uid="{00000000-0005-0000-0000-000069030000}"/>
    <cellStyle name="40% - Accent5 3 2" xfId="875" xr:uid="{00000000-0005-0000-0000-00006A030000}"/>
    <cellStyle name="40% - Accent5 3 2 2" xfId="876" xr:uid="{00000000-0005-0000-0000-00006B030000}"/>
    <cellStyle name="40% - Accent5 3 3" xfId="877" xr:uid="{00000000-0005-0000-0000-00006C030000}"/>
    <cellStyle name="40% - Accent5 3 3 2" xfId="878" xr:uid="{00000000-0005-0000-0000-00006D030000}"/>
    <cellStyle name="40% - Accent5 3 4" xfId="879" xr:uid="{00000000-0005-0000-0000-00006E030000}"/>
    <cellStyle name="40% - Accent5 3 4 2" xfId="880" xr:uid="{00000000-0005-0000-0000-00006F030000}"/>
    <cellStyle name="40% - Accent5 3 5" xfId="881" xr:uid="{00000000-0005-0000-0000-000070030000}"/>
    <cellStyle name="40% - Accent5 3 5 2" xfId="882" xr:uid="{00000000-0005-0000-0000-000071030000}"/>
    <cellStyle name="40% - Accent5 3 6" xfId="883" xr:uid="{00000000-0005-0000-0000-000072030000}"/>
    <cellStyle name="40% - Accent5 4" xfId="884" xr:uid="{00000000-0005-0000-0000-000073030000}"/>
    <cellStyle name="40% - Accent5 4 2" xfId="885" xr:uid="{00000000-0005-0000-0000-000074030000}"/>
    <cellStyle name="40% - Accent5 4 2 2" xfId="886" xr:uid="{00000000-0005-0000-0000-000075030000}"/>
    <cellStyle name="40% - Accent5 4 3" xfId="887" xr:uid="{00000000-0005-0000-0000-000076030000}"/>
    <cellStyle name="40% - Accent5 4 3 2" xfId="888" xr:uid="{00000000-0005-0000-0000-000077030000}"/>
    <cellStyle name="40% - Accent5 4 4" xfId="889" xr:uid="{00000000-0005-0000-0000-000078030000}"/>
    <cellStyle name="40% - Accent5 4 4 2" xfId="890" xr:uid="{00000000-0005-0000-0000-000079030000}"/>
    <cellStyle name="40% - Accent5 4 5" xfId="891" xr:uid="{00000000-0005-0000-0000-00007A030000}"/>
    <cellStyle name="40% - Accent5 4 5 2" xfId="892" xr:uid="{00000000-0005-0000-0000-00007B030000}"/>
    <cellStyle name="40% - Accent5 4 6" xfId="893" xr:uid="{00000000-0005-0000-0000-00007C030000}"/>
    <cellStyle name="40% - Accent5 5" xfId="894" xr:uid="{00000000-0005-0000-0000-00007D030000}"/>
    <cellStyle name="40% - Accent5 5 2" xfId="895" xr:uid="{00000000-0005-0000-0000-00007E030000}"/>
    <cellStyle name="40% - Accent5 5 2 2" xfId="896" xr:uid="{00000000-0005-0000-0000-00007F030000}"/>
    <cellStyle name="40% - Accent5 5 3" xfId="897" xr:uid="{00000000-0005-0000-0000-000080030000}"/>
    <cellStyle name="40% - Accent5 5 3 2" xfId="898" xr:uid="{00000000-0005-0000-0000-000081030000}"/>
    <cellStyle name="40% - Accent5 5 4" xfId="899" xr:uid="{00000000-0005-0000-0000-000082030000}"/>
    <cellStyle name="40% - Accent5 5 4 2" xfId="900" xr:uid="{00000000-0005-0000-0000-000083030000}"/>
    <cellStyle name="40% - Accent5 5 5" xfId="901" xr:uid="{00000000-0005-0000-0000-000084030000}"/>
    <cellStyle name="40% - Accent5 5 5 2" xfId="902" xr:uid="{00000000-0005-0000-0000-000085030000}"/>
    <cellStyle name="40% - Accent5 5 6" xfId="903" xr:uid="{00000000-0005-0000-0000-000086030000}"/>
    <cellStyle name="40% - Accent5 6" xfId="904" xr:uid="{00000000-0005-0000-0000-000087030000}"/>
    <cellStyle name="40% - Accent5 6 2" xfId="905" xr:uid="{00000000-0005-0000-0000-000088030000}"/>
    <cellStyle name="40% - Accent5 6 2 2" xfId="906" xr:uid="{00000000-0005-0000-0000-000089030000}"/>
    <cellStyle name="40% - Accent5 6 3" xfId="907" xr:uid="{00000000-0005-0000-0000-00008A030000}"/>
    <cellStyle name="40% - Accent5 6 3 2" xfId="908" xr:uid="{00000000-0005-0000-0000-00008B030000}"/>
    <cellStyle name="40% - Accent5 6 4" xfId="909" xr:uid="{00000000-0005-0000-0000-00008C030000}"/>
    <cellStyle name="40% - Accent5 6 4 2" xfId="910" xr:uid="{00000000-0005-0000-0000-00008D030000}"/>
    <cellStyle name="40% - Accent5 6 5" xfId="911" xr:uid="{00000000-0005-0000-0000-00008E030000}"/>
    <cellStyle name="40% - Accent5 6 5 2" xfId="912" xr:uid="{00000000-0005-0000-0000-00008F030000}"/>
    <cellStyle name="40% - Accent5 6 6" xfId="913" xr:uid="{00000000-0005-0000-0000-000090030000}"/>
    <cellStyle name="40% - Accent5 7" xfId="914" xr:uid="{00000000-0005-0000-0000-000091030000}"/>
    <cellStyle name="40% - Accent5 7 2" xfId="915" xr:uid="{00000000-0005-0000-0000-000092030000}"/>
    <cellStyle name="40% - Accent5 7 2 2" xfId="916" xr:uid="{00000000-0005-0000-0000-000093030000}"/>
    <cellStyle name="40% - Accent5 7 3" xfId="917" xr:uid="{00000000-0005-0000-0000-000094030000}"/>
    <cellStyle name="40% - Accent5 7 3 2" xfId="918" xr:uid="{00000000-0005-0000-0000-000095030000}"/>
    <cellStyle name="40% - Accent5 7 4" xfId="919" xr:uid="{00000000-0005-0000-0000-000096030000}"/>
    <cellStyle name="40% - Accent5 7 4 2" xfId="920" xr:uid="{00000000-0005-0000-0000-000097030000}"/>
    <cellStyle name="40% - Accent5 7 5" xfId="921" xr:uid="{00000000-0005-0000-0000-000098030000}"/>
    <cellStyle name="40% - Accent5 7 5 2" xfId="922" xr:uid="{00000000-0005-0000-0000-000099030000}"/>
    <cellStyle name="40% - Accent5 7 6" xfId="923" xr:uid="{00000000-0005-0000-0000-00009A030000}"/>
    <cellStyle name="40% - Accent5 8" xfId="924" xr:uid="{00000000-0005-0000-0000-00009B030000}"/>
    <cellStyle name="40% - Accent5 8 2" xfId="925" xr:uid="{00000000-0005-0000-0000-00009C030000}"/>
    <cellStyle name="40% - Accent5 8 2 2" xfId="926" xr:uid="{00000000-0005-0000-0000-00009D030000}"/>
    <cellStyle name="40% - Accent5 8 3" xfId="927" xr:uid="{00000000-0005-0000-0000-00009E030000}"/>
    <cellStyle name="40% - Accent5 8 3 2" xfId="928" xr:uid="{00000000-0005-0000-0000-00009F030000}"/>
    <cellStyle name="40% - Accent5 8 4" xfId="929" xr:uid="{00000000-0005-0000-0000-0000A0030000}"/>
    <cellStyle name="40% - Accent5 8 4 2" xfId="930" xr:uid="{00000000-0005-0000-0000-0000A1030000}"/>
    <cellStyle name="40% - Accent5 8 5" xfId="931" xr:uid="{00000000-0005-0000-0000-0000A2030000}"/>
    <cellStyle name="40% - Accent5 8 5 2" xfId="932" xr:uid="{00000000-0005-0000-0000-0000A3030000}"/>
    <cellStyle name="40% - Accent5 8 6" xfId="933" xr:uid="{00000000-0005-0000-0000-0000A4030000}"/>
    <cellStyle name="40% - Accent5 9" xfId="934" xr:uid="{00000000-0005-0000-0000-0000A5030000}"/>
    <cellStyle name="40% - Accent5 9 2" xfId="935" xr:uid="{00000000-0005-0000-0000-0000A6030000}"/>
    <cellStyle name="40% - Accent6 10" xfId="936" xr:uid="{00000000-0005-0000-0000-0000A7030000}"/>
    <cellStyle name="40% - Accent6 11" xfId="937" xr:uid="{00000000-0005-0000-0000-0000A8030000}"/>
    <cellStyle name="40% - Accent6 12" xfId="938" xr:uid="{00000000-0005-0000-0000-0000A9030000}"/>
    <cellStyle name="40% - Accent6 13" xfId="939" xr:uid="{00000000-0005-0000-0000-0000AA030000}"/>
    <cellStyle name="40% - Accent6 14" xfId="940" xr:uid="{00000000-0005-0000-0000-0000AB030000}"/>
    <cellStyle name="40% - Accent6 15" xfId="941" xr:uid="{00000000-0005-0000-0000-0000AC030000}"/>
    <cellStyle name="40% - Accent6 16" xfId="942" xr:uid="{00000000-0005-0000-0000-0000AD030000}"/>
    <cellStyle name="40% - Accent6 17" xfId="943" xr:uid="{00000000-0005-0000-0000-0000AE030000}"/>
    <cellStyle name="40% - Accent6 18" xfId="944" xr:uid="{00000000-0005-0000-0000-0000AF030000}"/>
    <cellStyle name="40% - Accent6 19" xfId="945" xr:uid="{00000000-0005-0000-0000-0000B0030000}"/>
    <cellStyle name="40% - Accent6 2" xfId="946" xr:uid="{00000000-0005-0000-0000-0000B1030000}"/>
    <cellStyle name="40% - Accent6 2 2" xfId="947" xr:uid="{00000000-0005-0000-0000-0000B2030000}"/>
    <cellStyle name="40% - Accent6 2 2 2" xfId="948" xr:uid="{00000000-0005-0000-0000-0000B3030000}"/>
    <cellStyle name="40% - Accent6 2 3" xfId="949" xr:uid="{00000000-0005-0000-0000-0000B4030000}"/>
    <cellStyle name="40% - Accent6 2 3 2" xfId="950" xr:uid="{00000000-0005-0000-0000-0000B5030000}"/>
    <cellStyle name="40% - Accent6 2 4" xfId="951" xr:uid="{00000000-0005-0000-0000-0000B6030000}"/>
    <cellStyle name="40% - Accent6 2 4 2" xfId="952" xr:uid="{00000000-0005-0000-0000-0000B7030000}"/>
    <cellStyle name="40% - Accent6 2 5" xfId="953" xr:uid="{00000000-0005-0000-0000-0000B8030000}"/>
    <cellStyle name="40% - Accent6 2 5 2" xfId="954" xr:uid="{00000000-0005-0000-0000-0000B9030000}"/>
    <cellStyle name="40% - Accent6 2 6" xfId="955" xr:uid="{00000000-0005-0000-0000-0000BA030000}"/>
    <cellStyle name="40% - Accent6 20" xfId="956" xr:uid="{00000000-0005-0000-0000-0000BB030000}"/>
    <cellStyle name="40% - Accent6 21" xfId="957" xr:uid="{00000000-0005-0000-0000-0000BC030000}"/>
    <cellStyle name="40% - Accent6 22" xfId="958" xr:uid="{00000000-0005-0000-0000-0000BD030000}"/>
    <cellStyle name="40% - Accent6 3" xfId="959" xr:uid="{00000000-0005-0000-0000-0000BE030000}"/>
    <cellStyle name="40% - Accent6 3 2" xfId="960" xr:uid="{00000000-0005-0000-0000-0000BF030000}"/>
    <cellStyle name="40% - Accent6 3 2 2" xfId="961" xr:uid="{00000000-0005-0000-0000-0000C0030000}"/>
    <cellStyle name="40% - Accent6 3 3" xfId="962" xr:uid="{00000000-0005-0000-0000-0000C1030000}"/>
    <cellStyle name="40% - Accent6 3 3 2" xfId="963" xr:uid="{00000000-0005-0000-0000-0000C2030000}"/>
    <cellStyle name="40% - Accent6 3 4" xfId="964" xr:uid="{00000000-0005-0000-0000-0000C3030000}"/>
    <cellStyle name="40% - Accent6 3 4 2" xfId="965" xr:uid="{00000000-0005-0000-0000-0000C4030000}"/>
    <cellStyle name="40% - Accent6 3 5" xfId="966" xr:uid="{00000000-0005-0000-0000-0000C5030000}"/>
    <cellStyle name="40% - Accent6 3 5 2" xfId="967" xr:uid="{00000000-0005-0000-0000-0000C6030000}"/>
    <cellStyle name="40% - Accent6 3 6" xfId="968" xr:uid="{00000000-0005-0000-0000-0000C7030000}"/>
    <cellStyle name="40% - Accent6 4" xfId="969" xr:uid="{00000000-0005-0000-0000-0000C8030000}"/>
    <cellStyle name="40% - Accent6 4 2" xfId="970" xr:uid="{00000000-0005-0000-0000-0000C9030000}"/>
    <cellStyle name="40% - Accent6 4 2 2" xfId="971" xr:uid="{00000000-0005-0000-0000-0000CA030000}"/>
    <cellStyle name="40% - Accent6 4 3" xfId="972" xr:uid="{00000000-0005-0000-0000-0000CB030000}"/>
    <cellStyle name="40% - Accent6 4 3 2" xfId="973" xr:uid="{00000000-0005-0000-0000-0000CC030000}"/>
    <cellStyle name="40% - Accent6 4 4" xfId="974" xr:uid="{00000000-0005-0000-0000-0000CD030000}"/>
    <cellStyle name="40% - Accent6 4 4 2" xfId="975" xr:uid="{00000000-0005-0000-0000-0000CE030000}"/>
    <cellStyle name="40% - Accent6 4 5" xfId="976" xr:uid="{00000000-0005-0000-0000-0000CF030000}"/>
    <cellStyle name="40% - Accent6 4 5 2" xfId="977" xr:uid="{00000000-0005-0000-0000-0000D0030000}"/>
    <cellStyle name="40% - Accent6 4 6" xfId="978" xr:uid="{00000000-0005-0000-0000-0000D1030000}"/>
    <cellStyle name="40% - Accent6 5" xfId="979" xr:uid="{00000000-0005-0000-0000-0000D2030000}"/>
    <cellStyle name="40% - Accent6 5 2" xfId="980" xr:uid="{00000000-0005-0000-0000-0000D3030000}"/>
    <cellStyle name="40% - Accent6 5 2 2" xfId="981" xr:uid="{00000000-0005-0000-0000-0000D4030000}"/>
    <cellStyle name="40% - Accent6 5 3" xfId="982" xr:uid="{00000000-0005-0000-0000-0000D5030000}"/>
    <cellStyle name="40% - Accent6 5 3 2" xfId="983" xr:uid="{00000000-0005-0000-0000-0000D6030000}"/>
    <cellStyle name="40% - Accent6 5 4" xfId="984" xr:uid="{00000000-0005-0000-0000-0000D7030000}"/>
    <cellStyle name="40% - Accent6 5 4 2" xfId="985" xr:uid="{00000000-0005-0000-0000-0000D8030000}"/>
    <cellStyle name="40% - Accent6 5 5" xfId="986" xr:uid="{00000000-0005-0000-0000-0000D9030000}"/>
    <cellStyle name="40% - Accent6 5 5 2" xfId="987" xr:uid="{00000000-0005-0000-0000-0000DA030000}"/>
    <cellStyle name="40% - Accent6 5 6" xfId="988" xr:uid="{00000000-0005-0000-0000-0000DB030000}"/>
    <cellStyle name="40% - Accent6 6" xfId="989" xr:uid="{00000000-0005-0000-0000-0000DC030000}"/>
    <cellStyle name="40% - Accent6 6 2" xfId="990" xr:uid="{00000000-0005-0000-0000-0000DD030000}"/>
    <cellStyle name="40% - Accent6 6 2 2" xfId="991" xr:uid="{00000000-0005-0000-0000-0000DE030000}"/>
    <cellStyle name="40% - Accent6 6 3" xfId="992" xr:uid="{00000000-0005-0000-0000-0000DF030000}"/>
    <cellStyle name="40% - Accent6 6 3 2" xfId="993" xr:uid="{00000000-0005-0000-0000-0000E0030000}"/>
    <cellStyle name="40% - Accent6 6 4" xfId="994" xr:uid="{00000000-0005-0000-0000-0000E1030000}"/>
    <cellStyle name="40% - Accent6 6 4 2" xfId="995" xr:uid="{00000000-0005-0000-0000-0000E2030000}"/>
    <cellStyle name="40% - Accent6 6 5" xfId="996" xr:uid="{00000000-0005-0000-0000-0000E3030000}"/>
    <cellStyle name="40% - Accent6 6 5 2" xfId="997" xr:uid="{00000000-0005-0000-0000-0000E4030000}"/>
    <cellStyle name="40% - Accent6 6 6" xfId="998" xr:uid="{00000000-0005-0000-0000-0000E5030000}"/>
    <cellStyle name="40% - Accent6 7" xfId="999" xr:uid="{00000000-0005-0000-0000-0000E6030000}"/>
    <cellStyle name="40% - Accent6 7 2" xfId="1000" xr:uid="{00000000-0005-0000-0000-0000E7030000}"/>
    <cellStyle name="40% - Accent6 7 2 2" xfId="1001" xr:uid="{00000000-0005-0000-0000-0000E8030000}"/>
    <cellStyle name="40% - Accent6 7 3" xfId="1002" xr:uid="{00000000-0005-0000-0000-0000E9030000}"/>
    <cellStyle name="40% - Accent6 7 3 2" xfId="1003" xr:uid="{00000000-0005-0000-0000-0000EA030000}"/>
    <cellStyle name="40% - Accent6 7 4" xfId="1004" xr:uid="{00000000-0005-0000-0000-0000EB030000}"/>
    <cellStyle name="40% - Accent6 7 4 2" xfId="1005" xr:uid="{00000000-0005-0000-0000-0000EC030000}"/>
    <cellStyle name="40% - Accent6 7 5" xfId="1006" xr:uid="{00000000-0005-0000-0000-0000ED030000}"/>
    <cellStyle name="40% - Accent6 7 5 2" xfId="1007" xr:uid="{00000000-0005-0000-0000-0000EE030000}"/>
    <cellStyle name="40% - Accent6 7 6" xfId="1008" xr:uid="{00000000-0005-0000-0000-0000EF030000}"/>
    <cellStyle name="40% - Accent6 8" xfId="1009" xr:uid="{00000000-0005-0000-0000-0000F0030000}"/>
    <cellStyle name="40% - Accent6 8 2" xfId="1010" xr:uid="{00000000-0005-0000-0000-0000F1030000}"/>
    <cellStyle name="40% - Accent6 8 2 2" xfId="1011" xr:uid="{00000000-0005-0000-0000-0000F2030000}"/>
    <cellStyle name="40% - Accent6 8 3" xfId="1012" xr:uid="{00000000-0005-0000-0000-0000F3030000}"/>
    <cellStyle name="40% - Accent6 8 3 2" xfId="1013" xr:uid="{00000000-0005-0000-0000-0000F4030000}"/>
    <cellStyle name="40% - Accent6 8 4" xfId="1014" xr:uid="{00000000-0005-0000-0000-0000F5030000}"/>
    <cellStyle name="40% - Accent6 8 4 2" xfId="1015" xr:uid="{00000000-0005-0000-0000-0000F6030000}"/>
    <cellStyle name="40% - Accent6 8 5" xfId="1016" xr:uid="{00000000-0005-0000-0000-0000F7030000}"/>
    <cellStyle name="40% - Accent6 8 5 2" xfId="1017" xr:uid="{00000000-0005-0000-0000-0000F8030000}"/>
    <cellStyle name="40% - Accent6 8 6" xfId="1018" xr:uid="{00000000-0005-0000-0000-0000F9030000}"/>
    <cellStyle name="40% - Accent6 9" xfId="1019" xr:uid="{00000000-0005-0000-0000-0000FA030000}"/>
    <cellStyle name="40% - Accent6 9 2" xfId="1020" xr:uid="{00000000-0005-0000-0000-0000FB030000}"/>
    <cellStyle name="60% - Accent1 10" xfId="1021" xr:uid="{00000000-0005-0000-0000-0000FC030000}"/>
    <cellStyle name="60% - Accent1 11" xfId="1022" xr:uid="{00000000-0005-0000-0000-0000FD030000}"/>
    <cellStyle name="60% - Accent1 12" xfId="1023" xr:uid="{00000000-0005-0000-0000-0000FE030000}"/>
    <cellStyle name="60% - Accent1 13" xfId="1024" xr:uid="{00000000-0005-0000-0000-0000FF030000}"/>
    <cellStyle name="60% - Accent1 14" xfId="1025" xr:uid="{00000000-0005-0000-0000-000000040000}"/>
    <cellStyle name="60% - Accent1 15" xfId="1026" xr:uid="{00000000-0005-0000-0000-000001040000}"/>
    <cellStyle name="60% - Accent1 16" xfId="1027" xr:uid="{00000000-0005-0000-0000-000002040000}"/>
    <cellStyle name="60% - Accent1 17" xfId="1028" xr:uid="{00000000-0005-0000-0000-000003040000}"/>
    <cellStyle name="60% - Accent1 18" xfId="1029" xr:uid="{00000000-0005-0000-0000-000004040000}"/>
    <cellStyle name="60% - Accent1 19" xfId="1030" xr:uid="{00000000-0005-0000-0000-000005040000}"/>
    <cellStyle name="60% - Accent1 2" xfId="1031" xr:uid="{00000000-0005-0000-0000-000006040000}"/>
    <cellStyle name="60% - Accent1 2 2" xfId="1032" xr:uid="{00000000-0005-0000-0000-000007040000}"/>
    <cellStyle name="60% - Accent1 2 2 2" xfId="1033" xr:uid="{00000000-0005-0000-0000-000008040000}"/>
    <cellStyle name="60% - Accent1 2 3" xfId="1034" xr:uid="{00000000-0005-0000-0000-000009040000}"/>
    <cellStyle name="60% - Accent1 2 3 2" xfId="1035" xr:uid="{00000000-0005-0000-0000-00000A040000}"/>
    <cellStyle name="60% - Accent1 2 4" xfId="1036" xr:uid="{00000000-0005-0000-0000-00000B040000}"/>
    <cellStyle name="60% - Accent1 2 4 2" xfId="1037" xr:uid="{00000000-0005-0000-0000-00000C040000}"/>
    <cellStyle name="60% - Accent1 2 5" xfId="1038" xr:uid="{00000000-0005-0000-0000-00000D040000}"/>
    <cellStyle name="60% - Accent1 2 5 2" xfId="1039" xr:uid="{00000000-0005-0000-0000-00000E040000}"/>
    <cellStyle name="60% - Accent1 2 6" xfId="1040" xr:uid="{00000000-0005-0000-0000-00000F040000}"/>
    <cellStyle name="60% - Accent1 20" xfId="1041" xr:uid="{00000000-0005-0000-0000-000010040000}"/>
    <cellStyle name="60% - Accent1 21" xfId="1042" xr:uid="{00000000-0005-0000-0000-000011040000}"/>
    <cellStyle name="60% - Accent1 22" xfId="1043" xr:uid="{00000000-0005-0000-0000-000012040000}"/>
    <cellStyle name="60% - Accent1 3" xfId="1044" xr:uid="{00000000-0005-0000-0000-000013040000}"/>
    <cellStyle name="60% - Accent1 3 2" xfId="1045" xr:uid="{00000000-0005-0000-0000-000014040000}"/>
    <cellStyle name="60% - Accent1 3 2 2" xfId="1046" xr:uid="{00000000-0005-0000-0000-000015040000}"/>
    <cellStyle name="60% - Accent1 3 3" xfId="1047" xr:uid="{00000000-0005-0000-0000-000016040000}"/>
    <cellStyle name="60% - Accent1 3 3 2" xfId="1048" xr:uid="{00000000-0005-0000-0000-000017040000}"/>
    <cellStyle name="60% - Accent1 3 4" xfId="1049" xr:uid="{00000000-0005-0000-0000-000018040000}"/>
    <cellStyle name="60% - Accent1 3 4 2" xfId="1050" xr:uid="{00000000-0005-0000-0000-000019040000}"/>
    <cellStyle name="60% - Accent1 3 5" xfId="1051" xr:uid="{00000000-0005-0000-0000-00001A040000}"/>
    <cellStyle name="60% - Accent1 3 5 2" xfId="1052" xr:uid="{00000000-0005-0000-0000-00001B040000}"/>
    <cellStyle name="60% - Accent1 3 6" xfId="1053" xr:uid="{00000000-0005-0000-0000-00001C040000}"/>
    <cellStyle name="60% - Accent1 4" xfId="1054" xr:uid="{00000000-0005-0000-0000-00001D040000}"/>
    <cellStyle name="60% - Accent1 4 2" xfId="1055" xr:uid="{00000000-0005-0000-0000-00001E040000}"/>
    <cellStyle name="60% - Accent1 4 2 2" xfId="1056" xr:uid="{00000000-0005-0000-0000-00001F040000}"/>
    <cellStyle name="60% - Accent1 4 3" xfId="1057" xr:uid="{00000000-0005-0000-0000-000020040000}"/>
    <cellStyle name="60% - Accent1 4 3 2" xfId="1058" xr:uid="{00000000-0005-0000-0000-000021040000}"/>
    <cellStyle name="60% - Accent1 4 4" xfId="1059" xr:uid="{00000000-0005-0000-0000-000022040000}"/>
    <cellStyle name="60% - Accent1 4 4 2" xfId="1060" xr:uid="{00000000-0005-0000-0000-000023040000}"/>
    <cellStyle name="60% - Accent1 4 5" xfId="1061" xr:uid="{00000000-0005-0000-0000-000024040000}"/>
    <cellStyle name="60% - Accent1 4 5 2" xfId="1062" xr:uid="{00000000-0005-0000-0000-000025040000}"/>
    <cellStyle name="60% - Accent1 4 6" xfId="1063" xr:uid="{00000000-0005-0000-0000-000026040000}"/>
    <cellStyle name="60% - Accent1 5" xfId="1064" xr:uid="{00000000-0005-0000-0000-000027040000}"/>
    <cellStyle name="60% - Accent1 5 2" xfId="1065" xr:uid="{00000000-0005-0000-0000-000028040000}"/>
    <cellStyle name="60% - Accent1 5 2 2" xfId="1066" xr:uid="{00000000-0005-0000-0000-000029040000}"/>
    <cellStyle name="60% - Accent1 5 3" xfId="1067" xr:uid="{00000000-0005-0000-0000-00002A040000}"/>
    <cellStyle name="60% - Accent1 5 3 2" xfId="1068" xr:uid="{00000000-0005-0000-0000-00002B040000}"/>
    <cellStyle name="60% - Accent1 5 4" xfId="1069" xr:uid="{00000000-0005-0000-0000-00002C040000}"/>
    <cellStyle name="60% - Accent1 5 4 2" xfId="1070" xr:uid="{00000000-0005-0000-0000-00002D040000}"/>
    <cellStyle name="60% - Accent1 5 5" xfId="1071" xr:uid="{00000000-0005-0000-0000-00002E040000}"/>
    <cellStyle name="60% - Accent1 5 5 2" xfId="1072" xr:uid="{00000000-0005-0000-0000-00002F040000}"/>
    <cellStyle name="60% - Accent1 5 6" xfId="1073" xr:uid="{00000000-0005-0000-0000-000030040000}"/>
    <cellStyle name="60% - Accent1 6" xfId="1074" xr:uid="{00000000-0005-0000-0000-000031040000}"/>
    <cellStyle name="60% - Accent1 6 2" xfId="1075" xr:uid="{00000000-0005-0000-0000-000032040000}"/>
    <cellStyle name="60% - Accent1 6 2 2" xfId="1076" xr:uid="{00000000-0005-0000-0000-000033040000}"/>
    <cellStyle name="60% - Accent1 6 3" xfId="1077" xr:uid="{00000000-0005-0000-0000-000034040000}"/>
    <cellStyle name="60% - Accent1 6 3 2" xfId="1078" xr:uid="{00000000-0005-0000-0000-000035040000}"/>
    <cellStyle name="60% - Accent1 6 4" xfId="1079" xr:uid="{00000000-0005-0000-0000-000036040000}"/>
    <cellStyle name="60% - Accent1 6 4 2" xfId="1080" xr:uid="{00000000-0005-0000-0000-000037040000}"/>
    <cellStyle name="60% - Accent1 6 5" xfId="1081" xr:uid="{00000000-0005-0000-0000-000038040000}"/>
    <cellStyle name="60% - Accent1 6 5 2" xfId="1082" xr:uid="{00000000-0005-0000-0000-000039040000}"/>
    <cellStyle name="60% - Accent1 6 6" xfId="1083" xr:uid="{00000000-0005-0000-0000-00003A040000}"/>
    <cellStyle name="60% - Accent1 7" xfId="1084" xr:uid="{00000000-0005-0000-0000-00003B040000}"/>
    <cellStyle name="60% - Accent1 7 2" xfId="1085" xr:uid="{00000000-0005-0000-0000-00003C040000}"/>
    <cellStyle name="60% - Accent1 7 2 2" xfId="1086" xr:uid="{00000000-0005-0000-0000-00003D040000}"/>
    <cellStyle name="60% - Accent1 7 3" xfId="1087" xr:uid="{00000000-0005-0000-0000-00003E040000}"/>
    <cellStyle name="60% - Accent1 7 3 2" xfId="1088" xr:uid="{00000000-0005-0000-0000-00003F040000}"/>
    <cellStyle name="60% - Accent1 7 4" xfId="1089" xr:uid="{00000000-0005-0000-0000-000040040000}"/>
    <cellStyle name="60% - Accent1 7 4 2" xfId="1090" xr:uid="{00000000-0005-0000-0000-000041040000}"/>
    <cellStyle name="60% - Accent1 7 5" xfId="1091" xr:uid="{00000000-0005-0000-0000-000042040000}"/>
    <cellStyle name="60% - Accent1 7 5 2" xfId="1092" xr:uid="{00000000-0005-0000-0000-000043040000}"/>
    <cellStyle name="60% - Accent1 7 6" xfId="1093" xr:uid="{00000000-0005-0000-0000-000044040000}"/>
    <cellStyle name="60% - Accent1 8" xfId="1094" xr:uid="{00000000-0005-0000-0000-000045040000}"/>
    <cellStyle name="60% - Accent1 8 2" xfId="1095" xr:uid="{00000000-0005-0000-0000-000046040000}"/>
    <cellStyle name="60% - Accent1 8 2 2" xfId="1096" xr:uid="{00000000-0005-0000-0000-000047040000}"/>
    <cellStyle name="60% - Accent1 8 3" xfId="1097" xr:uid="{00000000-0005-0000-0000-000048040000}"/>
    <cellStyle name="60% - Accent1 8 3 2" xfId="1098" xr:uid="{00000000-0005-0000-0000-000049040000}"/>
    <cellStyle name="60% - Accent1 8 4" xfId="1099" xr:uid="{00000000-0005-0000-0000-00004A040000}"/>
    <cellStyle name="60% - Accent1 8 4 2" xfId="1100" xr:uid="{00000000-0005-0000-0000-00004B040000}"/>
    <cellStyle name="60% - Accent1 8 5" xfId="1101" xr:uid="{00000000-0005-0000-0000-00004C040000}"/>
    <cellStyle name="60% - Accent1 8 5 2" xfId="1102" xr:uid="{00000000-0005-0000-0000-00004D040000}"/>
    <cellStyle name="60% - Accent1 8 6" xfId="1103" xr:uid="{00000000-0005-0000-0000-00004E040000}"/>
    <cellStyle name="60% - Accent1 9" xfId="1104" xr:uid="{00000000-0005-0000-0000-00004F040000}"/>
    <cellStyle name="60% - Accent1 9 2" xfId="1105" xr:uid="{00000000-0005-0000-0000-000050040000}"/>
    <cellStyle name="60% - Accent2 10" xfId="1106" xr:uid="{00000000-0005-0000-0000-000051040000}"/>
    <cellStyle name="60% - Accent2 11" xfId="1107" xr:uid="{00000000-0005-0000-0000-000052040000}"/>
    <cellStyle name="60% - Accent2 12" xfId="1108" xr:uid="{00000000-0005-0000-0000-000053040000}"/>
    <cellStyle name="60% - Accent2 13" xfId="1109" xr:uid="{00000000-0005-0000-0000-000054040000}"/>
    <cellStyle name="60% - Accent2 14" xfId="1110" xr:uid="{00000000-0005-0000-0000-000055040000}"/>
    <cellStyle name="60% - Accent2 15" xfId="1111" xr:uid="{00000000-0005-0000-0000-000056040000}"/>
    <cellStyle name="60% - Accent2 16" xfId="1112" xr:uid="{00000000-0005-0000-0000-000057040000}"/>
    <cellStyle name="60% - Accent2 17" xfId="1113" xr:uid="{00000000-0005-0000-0000-000058040000}"/>
    <cellStyle name="60% - Accent2 18" xfId="1114" xr:uid="{00000000-0005-0000-0000-000059040000}"/>
    <cellStyle name="60% - Accent2 19" xfId="1115" xr:uid="{00000000-0005-0000-0000-00005A040000}"/>
    <cellStyle name="60% - Accent2 2" xfId="1116" xr:uid="{00000000-0005-0000-0000-00005B040000}"/>
    <cellStyle name="60% - Accent2 2 2" xfId="1117" xr:uid="{00000000-0005-0000-0000-00005C040000}"/>
    <cellStyle name="60% - Accent2 2 2 2" xfId="1118" xr:uid="{00000000-0005-0000-0000-00005D040000}"/>
    <cellStyle name="60% - Accent2 2 3" xfId="1119" xr:uid="{00000000-0005-0000-0000-00005E040000}"/>
    <cellStyle name="60% - Accent2 2 3 2" xfId="1120" xr:uid="{00000000-0005-0000-0000-00005F040000}"/>
    <cellStyle name="60% - Accent2 2 4" xfId="1121" xr:uid="{00000000-0005-0000-0000-000060040000}"/>
    <cellStyle name="60% - Accent2 2 4 2" xfId="1122" xr:uid="{00000000-0005-0000-0000-000061040000}"/>
    <cellStyle name="60% - Accent2 2 5" xfId="1123" xr:uid="{00000000-0005-0000-0000-000062040000}"/>
    <cellStyle name="60% - Accent2 2 5 2" xfId="1124" xr:uid="{00000000-0005-0000-0000-000063040000}"/>
    <cellStyle name="60% - Accent2 2 6" xfId="1125" xr:uid="{00000000-0005-0000-0000-000064040000}"/>
    <cellStyle name="60% - Accent2 20" xfId="1126" xr:uid="{00000000-0005-0000-0000-000065040000}"/>
    <cellStyle name="60% - Accent2 21" xfId="1127" xr:uid="{00000000-0005-0000-0000-000066040000}"/>
    <cellStyle name="60% - Accent2 22" xfId="1128" xr:uid="{00000000-0005-0000-0000-000067040000}"/>
    <cellStyle name="60% - Accent2 3" xfId="1129" xr:uid="{00000000-0005-0000-0000-000068040000}"/>
    <cellStyle name="60% - Accent2 3 2" xfId="1130" xr:uid="{00000000-0005-0000-0000-000069040000}"/>
    <cellStyle name="60% - Accent2 3 2 2" xfId="1131" xr:uid="{00000000-0005-0000-0000-00006A040000}"/>
    <cellStyle name="60% - Accent2 3 3" xfId="1132" xr:uid="{00000000-0005-0000-0000-00006B040000}"/>
    <cellStyle name="60% - Accent2 3 3 2" xfId="1133" xr:uid="{00000000-0005-0000-0000-00006C040000}"/>
    <cellStyle name="60% - Accent2 3 4" xfId="1134" xr:uid="{00000000-0005-0000-0000-00006D040000}"/>
    <cellStyle name="60% - Accent2 3 4 2" xfId="1135" xr:uid="{00000000-0005-0000-0000-00006E040000}"/>
    <cellStyle name="60% - Accent2 3 5" xfId="1136" xr:uid="{00000000-0005-0000-0000-00006F040000}"/>
    <cellStyle name="60% - Accent2 3 5 2" xfId="1137" xr:uid="{00000000-0005-0000-0000-000070040000}"/>
    <cellStyle name="60% - Accent2 3 6" xfId="1138" xr:uid="{00000000-0005-0000-0000-000071040000}"/>
    <cellStyle name="60% - Accent2 4" xfId="1139" xr:uid="{00000000-0005-0000-0000-000072040000}"/>
    <cellStyle name="60% - Accent2 4 2" xfId="1140" xr:uid="{00000000-0005-0000-0000-000073040000}"/>
    <cellStyle name="60% - Accent2 4 2 2" xfId="1141" xr:uid="{00000000-0005-0000-0000-000074040000}"/>
    <cellStyle name="60% - Accent2 4 3" xfId="1142" xr:uid="{00000000-0005-0000-0000-000075040000}"/>
    <cellStyle name="60% - Accent2 4 3 2" xfId="1143" xr:uid="{00000000-0005-0000-0000-000076040000}"/>
    <cellStyle name="60% - Accent2 4 4" xfId="1144" xr:uid="{00000000-0005-0000-0000-000077040000}"/>
    <cellStyle name="60% - Accent2 4 4 2" xfId="1145" xr:uid="{00000000-0005-0000-0000-000078040000}"/>
    <cellStyle name="60% - Accent2 4 5" xfId="1146" xr:uid="{00000000-0005-0000-0000-000079040000}"/>
    <cellStyle name="60% - Accent2 4 5 2" xfId="1147" xr:uid="{00000000-0005-0000-0000-00007A040000}"/>
    <cellStyle name="60% - Accent2 4 6" xfId="1148" xr:uid="{00000000-0005-0000-0000-00007B040000}"/>
    <cellStyle name="60% - Accent2 5" xfId="1149" xr:uid="{00000000-0005-0000-0000-00007C040000}"/>
    <cellStyle name="60% - Accent2 5 2" xfId="1150" xr:uid="{00000000-0005-0000-0000-00007D040000}"/>
    <cellStyle name="60% - Accent2 5 2 2" xfId="1151" xr:uid="{00000000-0005-0000-0000-00007E040000}"/>
    <cellStyle name="60% - Accent2 5 3" xfId="1152" xr:uid="{00000000-0005-0000-0000-00007F040000}"/>
    <cellStyle name="60% - Accent2 5 3 2" xfId="1153" xr:uid="{00000000-0005-0000-0000-000080040000}"/>
    <cellStyle name="60% - Accent2 5 4" xfId="1154" xr:uid="{00000000-0005-0000-0000-000081040000}"/>
    <cellStyle name="60% - Accent2 5 4 2" xfId="1155" xr:uid="{00000000-0005-0000-0000-000082040000}"/>
    <cellStyle name="60% - Accent2 5 5" xfId="1156" xr:uid="{00000000-0005-0000-0000-000083040000}"/>
    <cellStyle name="60% - Accent2 5 5 2" xfId="1157" xr:uid="{00000000-0005-0000-0000-000084040000}"/>
    <cellStyle name="60% - Accent2 5 6" xfId="1158" xr:uid="{00000000-0005-0000-0000-000085040000}"/>
    <cellStyle name="60% - Accent2 6" xfId="1159" xr:uid="{00000000-0005-0000-0000-000086040000}"/>
    <cellStyle name="60% - Accent2 6 2" xfId="1160" xr:uid="{00000000-0005-0000-0000-000087040000}"/>
    <cellStyle name="60% - Accent2 6 2 2" xfId="1161" xr:uid="{00000000-0005-0000-0000-000088040000}"/>
    <cellStyle name="60% - Accent2 6 3" xfId="1162" xr:uid="{00000000-0005-0000-0000-000089040000}"/>
    <cellStyle name="60% - Accent2 6 3 2" xfId="1163" xr:uid="{00000000-0005-0000-0000-00008A040000}"/>
    <cellStyle name="60% - Accent2 6 4" xfId="1164" xr:uid="{00000000-0005-0000-0000-00008B040000}"/>
    <cellStyle name="60% - Accent2 6 4 2" xfId="1165" xr:uid="{00000000-0005-0000-0000-00008C040000}"/>
    <cellStyle name="60% - Accent2 6 5" xfId="1166" xr:uid="{00000000-0005-0000-0000-00008D040000}"/>
    <cellStyle name="60% - Accent2 6 5 2" xfId="1167" xr:uid="{00000000-0005-0000-0000-00008E040000}"/>
    <cellStyle name="60% - Accent2 6 6" xfId="1168" xr:uid="{00000000-0005-0000-0000-00008F040000}"/>
    <cellStyle name="60% - Accent2 7" xfId="1169" xr:uid="{00000000-0005-0000-0000-000090040000}"/>
    <cellStyle name="60% - Accent2 7 2" xfId="1170" xr:uid="{00000000-0005-0000-0000-000091040000}"/>
    <cellStyle name="60% - Accent2 7 2 2" xfId="1171" xr:uid="{00000000-0005-0000-0000-000092040000}"/>
    <cellStyle name="60% - Accent2 7 3" xfId="1172" xr:uid="{00000000-0005-0000-0000-000093040000}"/>
    <cellStyle name="60% - Accent2 7 3 2" xfId="1173" xr:uid="{00000000-0005-0000-0000-000094040000}"/>
    <cellStyle name="60% - Accent2 7 4" xfId="1174" xr:uid="{00000000-0005-0000-0000-000095040000}"/>
    <cellStyle name="60% - Accent2 7 4 2" xfId="1175" xr:uid="{00000000-0005-0000-0000-000096040000}"/>
    <cellStyle name="60% - Accent2 7 5" xfId="1176" xr:uid="{00000000-0005-0000-0000-000097040000}"/>
    <cellStyle name="60% - Accent2 7 5 2" xfId="1177" xr:uid="{00000000-0005-0000-0000-000098040000}"/>
    <cellStyle name="60% - Accent2 7 6" xfId="1178" xr:uid="{00000000-0005-0000-0000-000099040000}"/>
    <cellStyle name="60% - Accent2 8" xfId="1179" xr:uid="{00000000-0005-0000-0000-00009A040000}"/>
    <cellStyle name="60% - Accent2 8 2" xfId="1180" xr:uid="{00000000-0005-0000-0000-00009B040000}"/>
    <cellStyle name="60% - Accent2 8 2 2" xfId="1181" xr:uid="{00000000-0005-0000-0000-00009C040000}"/>
    <cellStyle name="60% - Accent2 8 3" xfId="1182" xr:uid="{00000000-0005-0000-0000-00009D040000}"/>
    <cellStyle name="60% - Accent2 8 3 2" xfId="1183" xr:uid="{00000000-0005-0000-0000-00009E040000}"/>
    <cellStyle name="60% - Accent2 8 4" xfId="1184" xr:uid="{00000000-0005-0000-0000-00009F040000}"/>
    <cellStyle name="60% - Accent2 8 4 2" xfId="1185" xr:uid="{00000000-0005-0000-0000-0000A0040000}"/>
    <cellStyle name="60% - Accent2 8 5" xfId="1186" xr:uid="{00000000-0005-0000-0000-0000A1040000}"/>
    <cellStyle name="60% - Accent2 8 5 2" xfId="1187" xr:uid="{00000000-0005-0000-0000-0000A2040000}"/>
    <cellStyle name="60% - Accent2 8 6" xfId="1188" xr:uid="{00000000-0005-0000-0000-0000A3040000}"/>
    <cellStyle name="60% - Accent2 9" xfId="1189" xr:uid="{00000000-0005-0000-0000-0000A4040000}"/>
    <cellStyle name="60% - Accent2 9 2" xfId="1190" xr:uid="{00000000-0005-0000-0000-0000A5040000}"/>
    <cellStyle name="60% - Accent3 10" xfId="1191" xr:uid="{00000000-0005-0000-0000-0000A6040000}"/>
    <cellStyle name="60% - Accent3 11" xfId="1192" xr:uid="{00000000-0005-0000-0000-0000A7040000}"/>
    <cellStyle name="60% - Accent3 12" xfId="1193" xr:uid="{00000000-0005-0000-0000-0000A8040000}"/>
    <cellStyle name="60% - Accent3 13" xfId="1194" xr:uid="{00000000-0005-0000-0000-0000A9040000}"/>
    <cellStyle name="60% - Accent3 14" xfId="1195" xr:uid="{00000000-0005-0000-0000-0000AA040000}"/>
    <cellStyle name="60% - Accent3 15" xfId="1196" xr:uid="{00000000-0005-0000-0000-0000AB040000}"/>
    <cellStyle name="60% - Accent3 16" xfId="1197" xr:uid="{00000000-0005-0000-0000-0000AC040000}"/>
    <cellStyle name="60% - Accent3 17" xfId="1198" xr:uid="{00000000-0005-0000-0000-0000AD040000}"/>
    <cellStyle name="60% - Accent3 18" xfId="1199" xr:uid="{00000000-0005-0000-0000-0000AE040000}"/>
    <cellStyle name="60% - Accent3 19" xfId="1200" xr:uid="{00000000-0005-0000-0000-0000AF040000}"/>
    <cellStyle name="60% - Accent3 2" xfId="1201" xr:uid="{00000000-0005-0000-0000-0000B0040000}"/>
    <cellStyle name="60% - Accent3 2 2" xfId="1202" xr:uid="{00000000-0005-0000-0000-0000B1040000}"/>
    <cellStyle name="60% - Accent3 2 2 2" xfId="1203" xr:uid="{00000000-0005-0000-0000-0000B2040000}"/>
    <cellStyle name="60% - Accent3 2 3" xfId="1204" xr:uid="{00000000-0005-0000-0000-0000B3040000}"/>
    <cellStyle name="60% - Accent3 2 3 2" xfId="1205" xr:uid="{00000000-0005-0000-0000-0000B4040000}"/>
    <cellStyle name="60% - Accent3 2 4" xfId="1206" xr:uid="{00000000-0005-0000-0000-0000B5040000}"/>
    <cellStyle name="60% - Accent3 2 4 2" xfId="1207" xr:uid="{00000000-0005-0000-0000-0000B6040000}"/>
    <cellStyle name="60% - Accent3 2 5" xfId="1208" xr:uid="{00000000-0005-0000-0000-0000B7040000}"/>
    <cellStyle name="60% - Accent3 2 5 2" xfId="1209" xr:uid="{00000000-0005-0000-0000-0000B8040000}"/>
    <cellStyle name="60% - Accent3 2 6" xfId="1210" xr:uid="{00000000-0005-0000-0000-0000B9040000}"/>
    <cellStyle name="60% - Accent3 20" xfId="1211" xr:uid="{00000000-0005-0000-0000-0000BA040000}"/>
    <cellStyle name="60% - Accent3 21" xfId="1212" xr:uid="{00000000-0005-0000-0000-0000BB040000}"/>
    <cellStyle name="60% - Accent3 22" xfId="1213" xr:uid="{00000000-0005-0000-0000-0000BC040000}"/>
    <cellStyle name="60% - Accent3 3" xfId="1214" xr:uid="{00000000-0005-0000-0000-0000BD040000}"/>
    <cellStyle name="60% - Accent3 3 2" xfId="1215" xr:uid="{00000000-0005-0000-0000-0000BE040000}"/>
    <cellStyle name="60% - Accent3 3 2 2" xfId="1216" xr:uid="{00000000-0005-0000-0000-0000BF040000}"/>
    <cellStyle name="60% - Accent3 3 3" xfId="1217" xr:uid="{00000000-0005-0000-0000-0000C0040000}"/>
    <cellStyle name="60% - Accent3 3 3 2" xfId="1218" xr:uid="{00000000-0005-0000-0000-0000C1040000}"/>
    <cellStyle name="60% - Accent3 3 4" xfId="1219" xr:uid="{00000000-0005-0000-0000-0000C2040000}"/>
    <cellStyle name="60% - Accent3 3 4 2" xfId="1220" xr:uid="{00000000-0005-0000-0000-0000C3040000}"/>
    <cellStyle name="60% - Accent3 3 5" xfId="1221" xr:uid="{00000000-0005-0000-0000-0000C4040000}"/>
    <cellStyle name="60% - Accent3 3 5 2" xfId="1222" xr:uid="{00000000-0005-0000-0000-0000C5040000}"/>
    <cellStyle name="60% - Accent3 3 6" xfId="1223" xr:uid="{00000000-0005-0000-0000-0000C6040000}"/>
    <cellStyle name="60% - Accent3 4" xfId="1224" xr:uid="{00000000-0005-0000-0000-0000C7040000}"/>
    <cellStyle name="60% - Accent3 4 2" xfId="1225" xr:uid="{00000000-0005-0000-0000-0000C8040000}"/>
    <cellStyle name="60% - Accent3 4 2 2" xfId="1226" xr:uid="{00000000-0005-0000-0000-0000C9040000}"/>
    <cellStyle name="60% - Accent3 4 3" xfId="1227" xr:uid="{00000000-0005-0000-0000-0000CA040000}"/>
    <cellStyle name="60% - Accent3 4 3 2" xfId="1228" xr:uid="{00000000-0005-0000-0000-0000CB040000}"/>
    <cellStyle name="60% - Accent3 4 4" xfId="1229" xr:uid="{00000000-0005-0000-0000-0000CC040000}"/>
    <cellStyle name="60% - Accent3 4 4 2" xfId="1230" xr:uid="{00000000-0005-0000-0000-0000CD040000}"/>
    <cellStyle name="60% - Accent3 4 5" xfId="1231" xr:uid="{00000000-0005-0000-0000-0000CE040000}"/>
    <cellStyle name="60% - Accent3 4 5 2" xfId="1232" xr:uid="{00000000-0005-0000-0000-0000CF040000}"/>
    <cellStyle name="60% - Accent3 4 6" xfId="1233" xr:uid="{00000000-0005-0000-0000-0000D0040000}"/>
    <cellStyle name="60% - Accent3 5" xfId="1234" xr:uid="{00000000-0005-0000-0000-0000D1040000}"/>
    <cellStyle name="60% - Accent3 5 2" xfId="1235" xr:uid="{00000000-0005-0000-0000-0000D2040000}"/>
    <cellStyle name="60% - Accent3 5 2 2" xfId="1236" xr:uid="{00000000-0005-0000-0000-0000D3040000}"/>
    <cellStyle name="60% - Accent3 5 3" xfId="1237" xr:uid="{00000000-0005-0000-0000-0000D4040000}"/>
    <cellStyle name="60% - Accent3 5 3 2" xfId="1238" xr:uid="{00000000-0005-0000-0000-0000D5040000}"/>
    <cellStyle name="60% - Accent3 5 4" xfId="1239" xr:uid="{00000000-0005-0000-0000-0000D6040000}"/>
    <cellStyle name="60% - Accent3 5 4 2" xfId="1240" xr:uid="{00000000-0005-0000-0000-0000D7040000}"/>
    <cellStyle name="60% - Accent3 5 5" xfId="1241" xr:uid="{00000000-0005-0000-0000-0000D8040000}"/>
    <cellStyle name="60% - Accent3 5 5 2" xfId="1242" xr:uid="{00000000-0005-0000-0000-0000D9040000}"/>
    <cellStyle name="60% - Accent3 5 6" xfId="1243" xr:uid="{00000000-0005-0000-0000-0000DA040000}"/>
    <cellStyle name="60% - Accent3 6" xfId="1244" xr:uid="{00000000-0005-0000-0000-0000DB040000}"/>
    <cellStyle name="60% - Accent3 6 2" xfId="1245" xr:uid="{00000000-0005-0000-0000-0000DC040000}"/>
    <cellStyle name="60% - Accent3 6 2 2" xfId="1246" xr:uid="{00000000-0005-0000-0000-0000DD040000}"/>
    <cellStyle name="60% - Accent3 6 3" xfId="1247" xr:uid="{00000000-0005-0000-0000-0000DE040000}"/>
    <cellStyle name="60% - Accent3 6 3 2" xfId="1248" xr:uid="{00000000-0005-0000-0000-0000DF040000}"/>
    <cellStyle name="60% - Accent3 6 4" xfId="1249" xr:uid="{00000000-0005-0000-0000-0000E0040000}"/>
    <cellStyle name="60% - Accent3 6 4 2" xfId="1250" xr:uid="{00000000-0005-0000-0000-0000E1040000}"/>
    <cellStyle name="60% - Accent3 6 5" xfId="1251" xr:uid="{00000000-0005-0000-0000-0000E2040000}"/>
    <cellStyle name="60% - Accent3 6 5 2" xfId="1252" xr:uid="{00000000-0005-0000-0000-0000E3040000}"/>
    <cellStyle name="60% - Accent3 6 6" xfId="1253" xr:uid="{00000000-0005-0000-0000-0000E4040000}"/>
    <cellStyle name="60% - Accent3 7" xfId="1254" xr:uid="{00000000-0005-0000-0000-0000E5040000}"/>
    <cellStyle name="60% - Accent3 7 2" xfId="1255" xr:uid="{00000000-0005-0000-0000-0000E6040000}"/>
    <cellStyle name="60% - Accent3 7 2 2" xfId="1256" xr:uid="{00000000-0005-0000-0000-0000E7040000}"/>
    <cellStyle name="60% - Accent3 7 3" xfId="1257" xr:uid="{00000000-0005-0000-0000-0000E8040000}"/>
    <cellStyle name="60% - Accent3 7 3 2" xfId="1258" xr:uid="{00000000-0005-0000-0000-0000E9040000}"/>
    <cellStyle name="60% - Accent3 7 4" xfId="1259" xr:uid="{00000000-0005-0000-0000-0000EA040000}"/>
    <cellStyle name="60% - Accent3 7 4 2" xfId="1260" xr:uid="{00000000-0005-0000-0000-0000EB040000}"/>
    <cellStyle name="60% - Accent3 7 5" xfId="1261" xr:uid="{00000000-0005-0000-0000-0000EC040000}"/>
    <cellStyle name="60% - Accent3 7 5 2" xfId="1262" xr:uid="{00000000-0005-0000-0000-0000ED040000}"/>
    <cellStyle name="60% - Accent3 7 6" xfId="1263" xr:uid="{00000000-0005-0000-0000-0000EE040000}"/>
    <cellStyle name="60% - Accent3 8" xfId="1264" xr:uid="{00000000-0005-0000-0000-0000EF040000}"/>
    <cellStyle name="60% - Accent3 8 2" xfId="1265" xr:uid="{00000000-0005-0000-0000-0000F0040000}"/>
    <cellStyle name="60% - Accent3 8 2 2" xfId="1266" xr:uid="{00000000-0005-0000-0000-0000F1040000}"/>
    <cellStyle name="60% - Accent3 8 3" xfId="1267" xr:uid="{00000000-0005-0000-0000-0000F2040000}"/>
    <cellStyle name="60% - Accent3 8 3 2" xfId="1268" xr:uid="{00000000-0005-0000-0000-0000F3040000}"/>
    <cellStyle name="60% - Accent3 8 4" xfId="1269" xr:uid="{00000000-0005-0000-0000-0000F4040000}"/>
    <cellStyle name="60% - Accent3 8 4 2" xfId="1270" xr:uid="{00000000-0005-0000-0000-0000F5040000}"/>
    <cellStyle name="60% - Accent3 8 5" xfId="1271" xr:uid="{00000000-0005-0000-0000-0000F6040000}"/>
    <cellStyle name="60% - Accent3 8 5 2" xfId="1272" xr:uid="{00000000-0005-0000-0000-0000F7040000}"/>
    <cellStyle name="60% - Accent3 8 6" xfId="1273" xr:uid="{00000000-0005-0000-0000-0000F8040000}"/>
    <cellStyle name="60% - Accent3 9" xfId="1274" xr:uid="{00000000-0005-0000-0000-0000F9040000}"/>
    <cellStyle name="60% - Accent3 9 2" xfId="1275" xr:uid="{00000000-0005-0000-0000-0000FA040000}"/>
    <cellStyle name="60% - Accent4 10" xfId="1276" xr:uid="{00000000-0005-0000-0000-0000FB040000}"/>
    <cellStyle name="60% - Accent4 11" xfId="1277" xr:uid="{00000000-0005-0000-0000-0000FC040000}"/>
    <cellStyle name="60% - Accent4 12" xfId="1278" xr:uid="{00000000-0005-0000-0000-0000FD040000}"/>
    <cellStyle name="60% - Accent4 13" xfId="1279" xr:uid="{00000000-0005-0000-0000-0000FE040000}"/>
    <cellStyle name="60% - Accent4 14" xfId="1280" xr:uid="{00000000-0005-0000-0000-0000FF040000}"/>
    <cellStyle name="60% - Accent4 15" xfId="1281" xr:uid="{00000000-0005-0000-0000-000000050000}"/>
    <cellStyle name="60% - Accent4 16" xfId="1282" xr:uid="{00000000-0005-0000-0000-000001050000}"/>
    <cellStyle name="60% - Accent4 17" xfId="1283" xr:uid="{00000000-0005-0000-0000-000002050000}"/>
    <cellStyle name="60% - Accent4 18" xfId="1284" xr:uid="{00000000-0005-0000-0000-000003050000}"/>
    <cellStyle name="60% - Accent4 19" xfId="1285" xr:uid="{00000000-0005-0000-0000-000004050000}"/>
    <cellStyle name="60% - Accent4 2" xfId="1286" xr:uid="{00000000-0005-0000-0000-000005050000}"/>
    <cellStyle name="60% - Accent4 2 2" xfId="1287" xr:uid="{00000000-0005-0000-0000-000006050000}"/>
    <cellStyle name="60% - Accent4 2 2 2" xfId="1288" xr:uid="{00000000-0005-0000-0000-000007050000}"/>
    <cellStyle name="60% - Accent4 2 3" xfId="1289" xr:uid="{00000000-0005-0000-0000-000008050000}"/>
    <cellStyle name="60% - Accent4 2 3 2" xfId="1290" xr:uid="{00000000-0005-0000-0000-000009050000}"/>
    <cellStyle name="60% - Accent4 2 4" xfId="1291" xr:uid="{00000000-0005-0000-0000-00000A050000}"/>
    <cellStyle name="60% - Accent4 2 4 2" xfId="1292" xr:uid="{00000000-0005-0000-0000-00000B050000}"/>
    <cellStyle name="60% - Accent4 2 5" xfId="1293" xr:uid="{00000000-0005-0000-0000-00000C050000}"/>
    <cellStyle name="60% - Accent4 2 5 2" xfId="1294" xr:uid="{00000000-0005-0000-0000-00000D050000}"/>
    <cellStyle name="60% - Accent4 2 6" xfId="1295" xr:uid="{00000000-0005-0000-0000-00000E050000}"/>
    <cellStyle name="60% - Accent4 20" xfId="1296" xr:uid="{00000000-0005-0000-0000-00000F050000}"/>
    <cellStyle name="60% - Accent4 21" xfId="1297" xr:uid="{00000000-0005-0000-0000-000010050000}"/>
    <cellStyle name="60% - Accent4 22" xfId="1298" xr:uid="{00000000-0005-0000-0000-000011050000}"/>
    <cellStyle name="60% - Accent4 3" xfId="1299" xr:uid="{00000000-0005-0000-0000-000012050000}"/>
    <cellStyle name="60% - Accent4 3 2" xfId="1300" xr:uid="{00000000-0005-0000-0000-000013050000}"/>
    <cellStyle name="60% - Accent4 3 2 2" xfId="1301" xr:uid="{00000000-0005-0000-0000-000014050000}"/>
    <cellStyle name="60% - Accent4 3 3" xfId="1302" xr:uid="{00000000-0005-0000-0000-000015050000}"/>
    <cellStyle name="60% - Accent4 3 3 2" xfId="1303" xr:uid="{00000000-0005-0000-0000-000016050000}"/>
    <cellStyle name="60% - Accent4 3 4" xfId="1304" xr:uid="{00000000-0005-0000-0000-000017050000}"/>
    <cellStyle name="60% - Accent4 3 4 2" xfId="1305" xr:uid="{00000000-0005-0000-0000-000018050000}"/>
    <cellStyle name="60% - Accent4 3 5" xfId="1306" xr:uid="{00000000-0005-0000-0000-000019050000}"/>
    <cellStyle name="60% - Accent4 3 5 2" xfId="1307" xr:uid="{00000000-0005-0000-0000-00001A050000}"/>
    <cellStyle name="60% - Accent4 3 6" xfId="1308" xr:uid="{00000000-0005-0000-0000-00001B050000}"/>
    <cellStyle name="60% - Accent4 4" xfId="1309" xr:uid="{00000000-0005-0000-0000-00001C050000}"/>
    <cellStyle name="60% - Accent4 4 2" xfId="1310" xr:uid="{00000000-0005-0000-0000-00001D050000}"/>
    <cellStyle name="60% - Accent4 4 2 2" xfId="1311" xr:uid="{00000000-0005-0000-0000-00001E050000}"/>
    <cellStyle name="60% - Accent4 4 3" xfId="1312" xr:uid="{00000000-0005-0000-0000-00001F050000}"/>
    <cellStyle name="60% - Accent4 4 3 2" xfId="1313" xr:uid="{00000000-0005-0000-0000-000020050000}"/>
    <cellStyle name="60% - Accent4 4 4" xfId="1314" xr:uid="{00000000-0005-0000-0000-000021050000}"/>
    <cellStyle name="60% - Accent4 4 4 2" xfId="1315" xr:uid="{00000000-0005-0000-0000-000022050000}"/>
    <cellStyle name="60% - Accent4 4 5" xfId="1316" xr:uid="{00000000-0005-0000-0000-000023050000}"/>
    <cellStyle name="60% - Accent4 4 5 2" xfId="1317" xr:uid="{00000000-0005-0000-0000-000024050000}"/>
    <cellStyle name="60% - Accent4 4 6" xfId="1318" xr:uid="{00000000-0005-0000-0000-000025050000}"/>
    <cellStyle name="60% - Accent4 5" xfId="1319" xr:uid="{00000000-0005-0000-0000-000026050000}"/>
    <cellStyle name="60% - Accent4 5 2" xfId="1320" xr:uid="{00000000-0005-0000-0000-000027050000}"/>
    <cellStyle name="60% - Accent4 5 2 2" xfId="1321" xr:uid="{00000000-0005-0000-0000-000028050000}"/>
    <cellStyle name="60% - Accent4 5 3" xfId="1322" xr:uid="{00000000-0005-0000-0000-000029050000}"/>
    <cellStyle name="60% - Accent4 5 3 2" xfId="1323" xr:uid="{00000000-0005-0000-0000-00002A050000}"/>
    <cellStyle name="60% - Accent4 5 4" xfId="1324" xr:uid="{00000000-0005-0000-0000-00002B050000}"/>
    <cellStyle name="60% - Accent4 5 4 2" xfId="1325" xr:uid="{00000000-0005-0000-0000-00002C050000}"/>
    <cellStyle name="60% - Accent4 5 5" xfId="1326" xr:uid="{00000000-0005-0000-0000-00002D050000}"/>
    <cellStyle name="60% - Accent4 5 5 2" xfId="1327" xr:uid="{00000000-0005-0000-0000-00002E050000}"/>
    <cellStyle name="60% - Accent4 5 6" xfId="1328" xr:uid="{00000000-0005-0000-0000-00002F050000}"/>
    <cellStyle name="60% - Accent4 6" xfId="1329" xr:uid="{00000000-0005-0000-0000-000030050000}"/>
    <cellStyle name="60% - Accent4 6 2" xfId="1330" xr:uid="{00000000-0005-0000-0000-000031050000}"/>
    <cellStyle name="60% - Accent4 6 2 2" xfId="1331" xr:uid="{00000000-0005-0000-0000-000032050000}"/>
    <cellStyle name="60% - Accent4 6 3" xfId="1332" xr:uid="{00000000-0005-0000-0000-000033050000}"/>
    <cellStyle name="60% - Accent4 6 3 2" xfId="1333" xr:uid="{00000000-0005-0000-0000-000034050000}"/>
    <cellStyle name="60% - Accent4 6 4" xfId="1334" xr:uid="{00000000-0005-0000-0000-000035050000}"/>
    <cellStyle name="60% - Accent4 6 4 2" xfId="1335" xr:uid="{00000000-0005-0000-0000-000036050000}"/>
    <cellStyle name="60% - Accent4 6 5" xfId="1336" xr:uid="{00000000-0005-0000-0000-000037050000}"/>
    <cellStyle name="60% - Accent4 6 5 2" xfId="1337" xr:uid="{00000000-0005-0000-0000-000038050000}"/>
    <cellStyle name="60% - Accent4 6 6" xfId="1338" xr:uid="{00000000-0005-0000-0000-000039050000}"/>
    <cellStyle name="60% - Accent4 7" xfId="1339" xr:uid="{00000000-0005-0000-0000-00003A050000}"/>
    <cellStyle name="60% - Accent4 7 2" xfId="1340" xr:uid="{00000000-0005-0000-0000-00003B050000}"/>
    <cellStyle name="60% - Accent4 7 2 2" xfId="1341" xr:uid="{00000000-0005-0000-0000-00003C050000}"/>
    <cellStyle name="60% - Accent4 7 3" xfId="1342" xr:uid="{00000000-0005-0000-0000-00003D050000}"/>
    <cellStyle name="60% - Accent4 7 3 2" xfId="1343" xr:uid="{00000000-0005-0000-0000-00003E050000}"/>
    <cellStyle name="60% - Accent4 7 4" xfId="1344" xr:uid="{00000000-0005-0000-0000-00003F050000}"/>
    <cellStyle name="60% - Accent4 7 4 2" xfId="1345" xr:uid="{00000000-0005-0000-0000-000040050000}"/>
    <cellStyle name="60% - Accent4 7 5" xfId="1346" xr:uid="{00000000-0005-0000-0000-000041050000}"/>
    <cellStyle name="60% - Accent4 7 5 2" xfId="1347" xr:uid="{00000000-0005-0000-0000-000042050000}"/>
    <cellStyle name="60% - Accent4 7 6" xfId="1348" xr:uid="{00000000-0005-0000-0000-000043050000}"/>
    <cellStyle name="60% - Accent4 8" xfId="1349" xr:uid="{00000000-0005-0000-0000-000044050000}"/>
    <cellStyle name="60% - Accent4 8 2" xfId="1350" xr:uid="{00000000-0005-0000-0000-000045050000}"/>
    <cellStyle name="60% - Accent4 8 2 2" xfId="1351" xr:uid="{00000000-0005-0000-0000-000046050000}"/>
    <cellStyle name="60% - Accent4 8 3" xfId="1352" xr:uid="{00000000-0005-0000-0000-000047050000}"/>
    <cellStyle name="60% - Accent4 8 3 2" xfId="1353" xr:uid="{00000000-0005-0000-0000-000048050000}"/>
    <cellStyle name="60% - Accent4 8 4" xfId="1354" xr:uid="{00000000-0005-0000-0000-000049050000}"/>
    <cellStyle name="60% - Accent4 8 4 2" xfId="1355" xr:uid="{00000000-0005-0000-0000-00004A050000}"/>
    <cellStyle name="60% - Accent4 8 5" xfId="1356" xr:uid="{00000000-0005-0000-0000-00004B050000}"/>
    <cellStyle name="60% - Accent4 8 5 2" xfId="1357" xr:uid="{00000000-0005-0000-0000-00004C050000}"/>
    <cellStyle name="60% - Accent4 8 6" xfId="1358" xr:uid="{00000000-0005-0000-0000-00004D050000}"/>
    <cellStyle name="60% - Accent4 9" xfId="1359" xr:uid="{00000000-0005-0000-0000-00004E050000}"/>
    <cellStyle name="60% - Accent4 9 2" xfId="1360" xr:uid="{00000000-0005-0000-0000-00004F050000}"/>
    <cellStyle name="60% - Accent5 10" xfId="1361" xr:uid="{00000000-0005-0000-0000-000050050000}"/>
    <cellStyle name="60% - Accent5 11" xfId="1362" xr:uid="{00000000-0005-0000-0000-000051050000}"/>
    <cellStyle name="60% - Accent5 12" xfId="1363" xr:uid="{00000000-0005-0000-0000-000052050000}"/>
    <cellStyle name="60% - Accent5 13" xfId="1364" xr:uid="{00000000-0005-0000-0000-000053050000}"/>
    <cellStyle name="60% - Accent5 14" xfId="1365" xr:uid="{00000000-0005-0000-0000-000054050000}"/>
    <cellStyle name="60% - Accent5 15" xfId="1366" xr:uid="{00000000-0005-0000-0000-000055050000}"/>
    <cellStyle name="60% - Accent5 16" xfId="1367" xr:uid="{00000000-0005-0000-0000-000056050000}"/>
    <cellStyle name="60% - Accent5 17" xfId="1368" xr:uid="{00000000-0005-0000-0000-000057050000}"/>
    <cellStyle name="60% - Accent5 18" xfId="1369" xr:uid="{00000000-0005-0000-0000-000058050000}"/>
    <cellStyle name="60% - Accent5 19" xfId="1370" xr:uid="{00000000-0005-0000-0000-000059050000}"/>
    <cellStyle name="60% - Accent5 2" xfId="1371" xr:uid="{00000000-0005-0000-0000-00005A050000}"/>
    <cellStyle name="60% - Accent5 2 2" xfId="1372" xr:uid="{00000000-0005-0000-0000-00005B050000}"/>
    <cellStyle name="60% - Accent5 2 2 2" xfId="1373" xr:uid="{00000000-0005-0000-0000-00005C050000}"/>
    <cellStyle name="60% - Accent5 2 3" xfId="1374" xr:uid="{00000000-0005-0000-0000-00005D050000}"/>
    <cellStyle name="60% - Accent5 2 3 2" xfId="1375" xr:uid="{00000000-0005-0000-0000-00005E050000}"/>
    <cellStyle name="60% - Accent5 2 4" xfId="1376" xr:uid="{00000000-0005-0000-0000-00005F050000}"/>
    <cellStyle name="60% - Accent5 2 4 2" xfId="1377" xr:uid="{00000000-0005-0000-0000-000060050000}"/>
    <cellStyle name="60% - Accent5 2 5" xfId="1378" xr:uid="{00000000-0005-0000-0000-000061050000}"/>
    <cellStyle name="60% - Accent5 2 5 2" xfId="1379" xr:uid="{00000000-0005-0000-0000-000062050000}"/>
    <cellStyle name="60% - Accent5 2 6" xfId="1380" xr:uid="{00000000-0005-0000-0000-000063050000}"/>
    <cellStyle name="60% - Accent5 20" xfId="1381" xr:uid="{00000000-0005-0000-0000-000064050000}"/>
    <cellStyle name="60% - Accent5 21" xfId="1382" xr:uid="{00000000-0005-0000-0000-000065050000}"/>
    <cellStyle name="60% - Accent5 22" xfId="1383" xr:uid="{00000000-0005-0000-0000-000066050000}"/>
    <cellStyle name="60% - Accent5 3" xfId="1384" xr:uid="{00000000-0005-0000-0000-000067050000}"/>
    <cellStyle name="60% - Accent5 3 2" xfId="1385" xr:uid="{00000000-0005-0000-0000-000068050000}"/>
    <cellStyle name="60% - Accent5 3 2 2" xfId="1386" xr:uid="{00000000-0005-0000-0000-000069050000}"/>
    <cellStyle name="60% - Accent5 3 3" xfId="1387" xr:uid="{00000000-0005-0000-0000-00006A050000}"/>
    <cellStyle name="60% - Accent5 3 3 2" xfId="1388" xr:uid="{00000000-0005-0000-0000-00006B050000}"/>
    <cellStyle name="60% - Accent5 3 4" xfId="1389" xr:uid="{00000000-0005-0000-0000-00006C050000}"/>
    <cellStyle name="60% - Accent5 3 4 2" xfId="1390" xr:uid="{00000000-0005-0000-0000-00006D050000}"/>
    <cellStyle name="60% - Accent5 3 5" xfId="1391" xr:uid="{00000000-0005-0000-0000-00006E050000}"/>
    <cellStyle name="60% - Accent5 3 5 2" xfId="1392" xr:uid="{00000000-0005-0000-0000-00006F050000}"/>
    <cellStyle name="60% - Accent5 3 6" xfId="1393" xr:uid="{00000000-0005-0000-0000-000070050000}"/>
    <cellStyle name="60% - Accent5 4" xfId="1394" xr:uid="{00000000-0005-0000-0000-000071050000}"/>
    <cellStyle name="60% - Accent5 4 2" xfId="1395" xr:uid="{00000000-0005-0000-0000-000072050000}"/>
    <cellStyle name="60% - Accent5 4 2 2" xfId="1396" xr:uid="{00000000-0005-0000-0000-000073050000}"/>
    <cellStyle name="60% - Accent5 4 3" xfId="1397" xr:uid="{00000000-0005-0000-0000-000074050000}"/>
    <cellStyle name="60% - Accent5 4 3 2" xfId="1398" xr:uid="{00000000-0005-0000-0000-000075050000}"/>
    <cellStyle name="60% - Accent5 4 4" xfId="1399" xr:uid="{00000000-0005-0000-0000-000076050000}"/>
    <cellStyle name="60% - Accent5 4 4 2" xfId="1400" xr:uid="{00000000-0005-0000-0000-000077050000}"/>
    <cellStyle name="60% - Accent5 4 5" xfId="1401" xr:uid="{00000000-0005-0000-0000-000078050000}"/>
    <cellStyle name="60% - Accent5 4 5 2" xfId="1402" xr:uid="{00000000-0005-0000-0000-000079050000}"/>
    <cellStyle name="60% - Accent5 4 6" xfId="1403" xr:uid="{00000000-0005-0000-0000-00007A050000}"/>
    <cellStyle name="60% - Accent5 5" xfId="1404" xr:uid="{00000000-0005-0000-0000-00007B050000}"/>
    <cellStyle name="60% - Accent5 5 2" xfId="1405" xr:uid="{00000000-0005-0000-0000-00007C050000}"/>
    <cellStyle name="60% - Accent5 5 2 2" xfId="1406" xr:uid="{00000000-0005-0000-0000-00007D050000}"/>
    <cellStyle name="60% - Accent5 5 3" xfId="1407" xr:uid="{00000000-0005-0000-0000-00007E050000}"/>
    <cellStyle name="60% - Accent5 5 3 2" xfId="1408" xr:uid="{00000000-0005-0000-0000-00007F050000}"/>
    <cellStyle name="60% - Accent5 5 4" xfId="1409" xr:uid="{00000000-0005-0000-0000-000080050000}"/>
    <cellStyle name="60% - Accent5 5 4 2" xfId="1410" xr:uid="{00000000-0005-0000-0000-000081050000}"/>
    <cellStyle name="60% - Accent5 5 5" xfId="1411" xr:uid="{00000000-0005-0000-0000-000082050000}"/>
    <cellStyle name="60% - Accent5 5 5 2" xfId="1412" xr:uid="{00000000-0005-0000-0000-000083050000}"/>
    <cellStyle name="60% - Accent5 5 6" xfId="1413" xr:uid="{00000000-0005-0000-0000-000084050000}"/>
    <cellStyle name="60% - Accent5 6" xfId="1414" xr:uid="{00000000-0005-0000-0000-000085050000}"/>
    <cellStyle name="60% - Accent5 6 2" xfId="1415" xr:uid="{00000000-0005-0000-0000-000086050000}"/>
    <cellStyle name="60% - Accent5 6 2 2" xfId="1416" xr:uid="{00000000-0005-0000-0000-000087050000}"/>
    <cellStyle name="60% - Accent5 6 3" xfId="1417" xr:uid="{00000000-0005-0000-0000-000088050000}"/>
    <cellStyle name="60% - Accent5 6 3 2" xfId="1418" xr:uid="{00000000-0005-0000-0000-000089050000}"/>
    <cellStyle name="60% - Accent5 6 4" xfId="1419" xr:uid="{00000000-0005-0000-0000-00008A050000}"/>
    <cellStyle name="60% - Accent5 6 4 2" xfId="1420" xr:uid="{00000000-0005-0000-0000-00008B050000}"/>
    <cellStyle name="60% - Accent5 6 5" xfId="1421" xr:uid="{00000000-0005-0000-0000-00008C050000}"/>
    <cellStyle name="60% - Accent5 6 5 2" xfId="1422" xr:uid="{00000000-0005-0000-0000-00008D050000}"/>
    <cellStyle name="60% - Accent5 6 6" xfId="1423" xr:uid="{00000000-0005-0000-0000-00008E050000}"/>
    <cellStyle name="60% - Accent5 7" xfId="1424" xr:uid="{00000000-0005-0000-0000-00008F050000}"/>
    <cellStyle name="60% - Accent5 7 2" xfId="1425" xr:uid="{00000000-0005-0000-0000-000090050000}"/>
    <cellStyle name="60% - Accent5 7 2 2" xfId="1426" xr:uid="{00000000-0005-0000-0000-000091050000}"/>
    <cellStyle name="60% - Accent5 7 3" xfId="1427" xr:uid="{00000000-0005-0000-0000-000092050000}"/>
    <cellStyle name="60% - Accent5 7 3 2" xfId="1428" xr:uid="{00000000-0005-0000-0000-000093050000}"/>
    <cellStyle name="60% - Accent5 7 4" xfId="1429" xr:uid="{00000000-0005-0000-0000-000094050000}"/>
    <cellStyle name="60% - Accent5 7 4 2" xfId="1430" xr:uid="{00000000-0005-0000-0000-000095050000}"/>
    <cellStyle name="60% - Accent5 7 5" xfId="1431" xr:uid="{00000000-0005-0000-0000-000096050000}"/>
    <cellStyle name="60% - Accent5 7 5 2" xfId="1432" xr:uid="{00000000-0005-0000-0000-000097050000}"/>
    <cellStyle name="60% - Accent5 7 6" xfId="1433" xr:uid="{00000000-0005-0000-0000-000098050000}"/>
    <cellStyle name="60% - Accent5 8" xfId="1434" xr:uid="{00000000-0005-0000-0000-000099050000}"/>
    <cellStyle name="60% - Accent5 8 2" xfId="1435" xr:uid="{00000000-0005-0000-0000-00009A050000}"/>
    <cellStyle name="60% - Accent5 8 2 2" xfId="1436" xr:uid="{00000000-0005-0000-0000-00009B050000}"/>
    <cellStyle name="60% - Accent5 8 3" xfId="1437" xr:uid="{00000000-0005-0000-0000-00009C050000}"/>
    <cellStyle name="60% - Accent5 8 3 2" xfId="1438" xr:uid="{00000000-0005-0000-0000-00009D050000}"/>
    <cellStyle name="60% - Accent5 8 4" xfId="1439" xr:uid="{00000000-0005-0000-0000-00009E050000}"/>
    <cellStyle name="60% - Accent5 8 4 2" xfId="1440" xr:uid="{00000000-0005-0000-0000-00009F050000}"/>
    <cellStyle name="60% - Accent5 8 5" xfId="1441" xr:uid="{00000000-0005-0000-0000-0000A0050000}"/>
    <cellStyle name="60% - Accent5 8 5 2" xfId="1442" xr:uid="{00000000-0005-0000-0000-0000A1050000}"/>
    <cellStyle name="60% - Accent5 8 6" xfId="1443" xr:uid="{00000000-0005-0000-0000-0000A2050000}"/>
    <cellStyle name="60% - Accent5 9" xfId="1444" xr:uid="{00000000-0005-0000-0000-0000A3050000}"/>
    <cellStyle name="60% - Accent5 9 2" xfId="1445" xr:uid="{00000000-0005-0000-0000-0000A4050000}"/>
    <cellStyle name="60% - Accent6 10" xfId="1446" xr:uid="{00000000-0005-0000-0000-0000A5050000}"/>
    <cellStyle name="60% - Accent6 11" xfId="1447" xr:uid="{00000000-0005-0000-0000-0000A6050000}"/>
    <cellStyle name="60% - Accent6 12" xfId="1448" xr:uid="{00000000-0005-0000-0000-0000A7050000}"/>
    <cellStyle name="60% - Accent6 13" xfId="1449" xr:uid="{00000000-0005-0000-0000-0000A8050000}"/>
    <cellStyle name="60% - Accent6 14" xfId="1450" xr:uid="{00000000-0005-0000-0000-0000A9050000}"/>
    <cellStyle name="60% - Accent6 15" xfId="1451" xr:uid="{00000000-0005-0000-0000-0000AA050000}"/>
    <cellStyle name="60% - Accent6 16" xfId="1452" xr:uid="{00000000-0005-0000-0000-0000AB050000}"/>
    <cellStyle name="60% - Accent6 17" xfId="1453" xr:uid="{00000000-0005-0000-0000-0000AC050000}"/>
    <cellStyle name="60% - Accent6 18" xfId="1454" xr:uid="{00000000-0005-0000-0000-0000AD050000}"/>
    <cellStyle name="60% - Accent6 19" xfId="1455" xr:uid="{00000000-0005-0000-0000-0000AE050000}"/>
    <cellStyle name="60% - Accent6 2" xfId="1456" xr:uid="{00000000-0005-0000-0000-0000AF050000}"/>
    <cellStyle name="60% - Accent6 2 2" xfId="1457" xr:uid="{00000000-0005-0000-0000-0000B0050000}"/>
    <cellStyle name="60% - Accent6 2 2 2" xfId="1458" xr:uid="{00000000-0005-0000-0000-0000B1050000}"/>
    <cellStyle name="60% - Accent6 2 3" xfId="1459" xr:uid="{00000000-0005-0000-0000-0000B2050000}"/>
    <cellStyle name="60% - Accent6 2 3 2" xfId="1460" xr:uid="{00000000-0005-0000-0000-0000B3050000}"/>
    <cellStyle name="60% - Accent6 2 4" xfId="1461" xr:uid="{00000000-0005-0000-0000-0000B4050000}"/>
    <cellStyle name="60% - Accent6 2 4 2" xfId="1462" xr:uid="{00000000-0005-0000-0000-0000B5050000}"/>
    <cellStyle name="60% - Accent6 2 5" xfId="1463" xr:uid="{00000000-0005-0000-0000-0000B6050000}"/>
    <cellStyle name="60% - Accent6 2 5 2" xfId="1464" xr:uid="{00000000-0005-0000-0000-0000B7050000}"/>
    <cellStyle name="60% - Accent6 2 6" xfId="1465" xr:uid="{00000000-0005-0000-0000-0000B8050000}"/>
    <cellStyle name="60% - Accent6 20" xfId="1466" xr:uid="{00000000-0005-0000-0000-0000B9050000}"/>
    <cellStyle name="60% - Accent6 21" xfId="1467" xr:uid="{00000000-0005-0000-0000-0000BA050000}"/>
    <cellStyle name="60% - Accent6 22" xfId="1468" xr:uid="{00000000-0005-0000-0000-0000BB050000}"/>
    <cellStyle name="60% - Accent6 3" xfId="1469" xr:uid="{00000000-0005-0000-0000-0000BC050000}"/>
    <cellStyle name="60% - Accent6 3 2" xfId="1470" xr:uid="{00000000-0005-0000-0000-0000BD050000}"/>
    <cellStyle name="60% - Accent6 3 2 2" xfId="1471" xr:uid="{00000000-0005-0000-0000-0000BE050000}"/>
    <cellStyle name="60% - Accent6 3 3" xfId="1472" xr:uid="{00000000-0005-0000-0000-0000BF050000}"/>
    <cellStyle name="60% - Accent6 3 3 2" xfId="1473" xr:uid="{00000000-0005-0000-0000-0000C0050000}"/>
    <cellStyle name="60% - Accent6 3 4" xfId="1474" xr:uid="{00000000-0005-0000-0000-0000C1050000}"/>
    <cellStyle name="60% - Accent6 3 4 2" xfId="1475" xr:uid="{00000000-0005-0000-0000-0000C2050000}"/>
    <cellStyle name="60% - Accent6 3 5" xfId="1476" xr:uid="{00000000-0005-0000-0000-0000C3050000}"/>
    <cellStyle name="60% - Accent6 3 5 2" xfId="1477" xr:uid="{00000000-0005-0000-0000-0000C4050000}"/>
    <cellStyle name="60% - Accent6 3 6" xfId="1478" xr:uid="{00000000-0005-0000-0000-0000C5050000}"/>
    <cellStyle name="60% - Accent6 4" xfId="1479" xr:uid="{00000000-0005-0000-0000-0000C6050000}"/>
    <cellStyle name="60% - Accent6 4 2" xfId="1480" xr:uid="{00000000-0005-0000-0000-0000C7050000}"/>
    <cellStyle name="60% - Accent6 4 2 2" xfId="1481" xr:uid="{00000000-0005-0000-0000-0000C8050000}"/>
    <cellStyle name="60% - Accent6 4 3" xfId="1482" xr:uid="{00000000-0005-0000-0000-0000C9050000}"/>
    <cellStyle name="60% - Accent6 4 3 2" xfId="1483" xr:uid="{00000000-0005-0000-0000-0000CA050000}"/>
    <cellStyle name="60% - Accent6 4 4" xfId="1484" xr:uid="{00000000-0005-0000-0000-0000CB050000}"/>
    <cellStyle name="60% - Accent6 4 4 2" xfId="1485" xr:uid="{00000000-0005-0000-0000-0000CC050000}"/>
    <cellStyle name="60% - Accent6 4 5" xfId="1486" xr:uid="{00000000-0005-0000-0000-0000CD050000}"/>
    <cellStyle name="60% - Accent6 4 5 2" xfId="1487" xr:uid="{00000000-0005-0000-0000-0000CE050000}"/>
    <cellStyle name="60% - Accent6 4 6" xfId="1488" xr:uid="{00000000-0005-0000-0000-0000CF050000}"/>
    <cellStyle name="60% - Accent6 5" xfId="1489" xr:uid="{00000000-0005-0000-0000-0000D0050000}"/>
    <cellStyle name="60% - Accent6 5 2" xfId="1490" xr:uid="{00000000-0005-0000-0000-0000D1050000}"/>
    <cellStyle name="60% - Accent6 5 2 2" xfId="1491" xr:uid="{00000000-0005-0000-0000-0000D2050000}"/>
    <cellStyle name="60% - Accent6 5 3" xfId="1492" xr:uid="{00000000-0005-0000-0000-0000D3050000}"/>
    <cellStyle name="60% - Accent6 5 3 2" xfId="1493" xr:uid="{00000000-0005-0000-0000-0000D4050000}"/>
    <cellStyle name="60% - Accent6 5 4" xfId="1494" xr:uid="{00000000-0005-0000-0000-0000D5050000}"/>
    <cellStyle name="60% - Accent6 5 4 2" xfId="1495" xr:uid="{00000000-0005-0000-0000-0000D6050000}"/>
    <cellStyle name="60% - Accent6 5 5" xfId="1496" xr:uid="{00000000-0005-0000-0000-0000D7050000}"/>
    <cellStyle name="60% - Accent6 5 5 2" xfId="1497" xr:uid="{00000000-0005-0000-0000-0000D8050000}"/>
    <cellStyle name="60% - Accent6 5 6" xfId="1498" xr:uid="{00000000-0005-0000-0000-0000D9050000}"/>
    <cellStyle name="60% - Accent6 6" xfId="1499" xr:uid="{00000000-0005-0000-0000-0000DA050000}"/>
    <cellStyle name="60% - Accent6 6 2" xfId="1500" xr:uid="{00000000-0005-0000-0000-0000DB050000}"/>
    <cellStyle name="60% - Accent6 6 2 2" xfId="1501" xr:uid="{00000000-0005-0000-0000-0000DC050000}"/>
    <cellStyle name="60% - Accent6 6 3" xfId="1502" xr:uid="{00000000-0005-0000-0000-0000DD050000}"/>
    <cellStyle name="60% - Accent6 6 3 2" xfId="1503" xr:uid="{00000000-0005-0000-0000-0000DE050000}"/>
    <cellStyle name="60% - Accent6 6 4" xfId="1504" xr:uid="{00000000-0005-0000-0000-0000DF050000}"/>
    <cellStyle name="60% - Accent6 6 4 2" xfId="1505" xr:uid="{00000000-0005-0000-0000-0000E0050000}"/>
    <cellStyle name="60% - Accent6 6 5" xfId="1506" xr:uid="{00000000-0005-0000-0000-0000E1050000}"/>
    <cellStyle name="60% - Accent6 6 5 2" xfId="1507" xr:uid="{00000000-0005-0000-0000-0000E2050000}"/>
    <cellStyle name="60% - Accent6 6 6" xfId="1508" xr:uid="{00000000-0005-0000-0000-0000E3050000}"/>
    <cellStyle name="60% - Accent6 7" xfId="1509" xr:uid="{00000000-0005-0000-0000-0000E4050000}"/>
    <cellStyle name="60% - Accent6 7 2" xfId="1510" xr:uid="{00000000-0005-0000-0000-0000E5050000}"/>
    <cellStyle name="60% - Accent6 7 2 2" xfId="1511" xr:uid="{00000000-0005-0000-0000-0000E6050000}"/>
    <cellStyle name="60% - Accent6 7 3" xfId="1512" xr:uid="{00000000-0005-0000-0000-0000E7050000}"/>
    <cellStyle name="60% - Accent6 7 3 2" xfId="1513" xr:uid="{00000000-0005-0000-0000-0000E8050000}"/>
    <cellStyle name="60% - Accent6 7 4" xfId="1514" xr:uid="{00000000-0005-0000-0000-0000E9050000}"/>
    <cellStyle name="60% - Accent6 7 4 2" xfId="1515" xr:uid="{00000000-0005-0000-0000-0000EA050000}"/>
    <cellStyle name="60% - Accent6 7 5" xfId="1516" xr:uid="{00000000-0005-0000-0000-0000EB050000}"/>
    <cellStyle name="60% - Accent6 7 5 2" xfId="1517" xr:uid="{00000000-0005-0000-0000-0000EC050000}"/>
    <cellStyle name="60% - Accent6 7 6" xfId="1518" xr:uid="{00000000-0005-0000-0000-0000ED050000}"/>
    <cellStyle name="60% - Accent6 8" xfId="1519" xr:uid="{00000000-0005-0000-0000-0000EE050000}"/>
    <cellStyle name="60% - Accent6 8 2" xfId="1520" xr:uid="{00000000-0005-0000-0000-0000EF050000}"/>
    <cellStyle name="60% - Accent6 8 2 2" xfId="1521" xr:uid="{00000000-0005-0000-0000-0000F0050000}"/>
    <cellStyle name="60% - Accent6 8 3" xfId="1522" xr:uid="{00000000-0005-0000-0000-0000F1050000}"/>
    <cellStyle name="60% - Accent6 8 3 2" xfId="1523" xr:uid="{00000000-0005-0000-0000-0000F2050000}"/>
    <cellStyle name="60% - Accent6 8 4" xfId="1524" xr:uid="{00000000-0005-0000-0000-0000F3050000}"/>
    <cellStyle name="60% - Accent6 8 4 2" xfId="1525" xr:uid="{00000000-0005-0000-0000-0000F4050000}"/>
    <cellStyle name="60% - Accent6 8 5" xfId="1526" xr:uid="{00000000-0005-0000-0000-0000F5050000}"/>
    <cellStyle name="60% - Accent6 8 5 2" xfId="1527" xr:uid="{00000000-0005-0000-0000-0000F6050000}"/>
    <cellStyle name="60% - Accent6 8 6" xfId="1528" xr:uid="{00000000-0005-0000-0000-0000F7050000}"/>
    <cellStyle name="60% - Accent6 9" xfId="1529" xr:uid="{00000000-0005-0000-0000-0000F8050000}"/>
    <cellStyle name="60% - Accent6 9 2" xfId="1530" xr:uid="{00000000-0005-0000-0000-0000F9050000}"/>
    <cellStyle name="Accent1 10" xfId="1531" xr:uid="{00000000-0005-0000-0000-0000FA050000}"/>
    <cellStyle name="Accent1 11" xfId="1532" xr:uid="{00000000-0005-0000-0000-0000FB050000}"/>
    <cellStyle name="Accent1 12" xfId="1533" xr:uid="{00000000-0005-0000-0000-0000FC050000}"/>
    <cellStyle name="Accent1 13" xfId="1534" xr:uid="{00000000-0005-0000-0000-0000FD050000}"/>
    <cellStyle name="Accent1 14" xfId="1535" xr:uid="{00000000-0005-0000-0000-0000FE050000}"/>
    <cellStyle name="Accent1 15" xfId="1536" xr:uid="{00000000-0005-0000-0000-0000FF050000}"/>
    <cellStyle name="Accent1 16" xfId="1537" xr:uid="{00000000-0005-0000-0000-000000060000}"/>
    <cellStyle name="Accent1 17" xfId="1538" xr:uid="{00000000-0005-0000-0000-000001060000}"/>
    <cellStyle name="Accent1 18" xfId="1539" xr:uid="{00000000-0005-0000-0000-000002060000}"/>
    <cellStyle name="Accent1 19" xfId="1540" xr:uid="{00000000-0005-0000-0000-000003060000}"/>
    <cellStyle name="Accent1 2" xfId="1541" xr:uid="{00000000-0005-0000-0000-000004060000}"/>
    <cellStyle name="Accent1 2 2" xfId="1542" xr:uid="{00000000-0005-0000-0000-000005060000}"/>
    <cellStyle name="Accent1 2 2 2" xfId="1543" xr:uid="{00000000-0005-0000-0000-000006060000}"/>
    <cellStyle name="Accent1 2 3" xfId="1544" xr:uid="{00000000-0005-0000-0000-000007060000}"/>
    <cellStyle name="Accent1 2 3 2" xfId="1545" xr:uid="{00000000-0005-0000-0000-000008060000}"/>
    <cellStyle name="Accent1 2 4" xfId="1546" xr:uid="{00000000-0005-0000-0000-000009060000}"/>
    <cellStyle name="Accent1 2 4 2" xfId="1547" xr:uid="{00000000-0005-0000-0000-00000A060000}"/>
    <cellStyle name="Accent1 2 5" xfId="1548" xr:uid="{00000000-0005-0000-0000-00000B060000}"/>
    <cellStyle name="Accent1 2 5 2" xfId="1549" xr:uid="{00000000-0005-0000-0000-00000C060000}"/>
    <cellStyle name="Accent1 2 6" xfId="1550" xr:uid="{00000000-0005-0000-0000-00000D060000}"/>
    <cellStyle name="Accent1 20" xfId="1551" xr:uid="{00000000-0005-0000-0000-00000E060000}"/>
    <cellStyle name="Accent1 21" xfId="1552" xr:uid="{00000000-0005-0000-0000-00000F060000}"/>
    <cellStyle name="Accent1 22" xfId="1553" xr:uid="{00000000-0005-0000-0000-000010060000}"/>
    <cellStyle name="Accent1 3" xfId="1554" xr:uid="{00000000-0005-0000-0000-000011060000}"/>
    <cellStyle name="Accent1 3 2" xfId="1555" xr:uid="{00000000-0005-0000-0000-000012060000}"/>
    <cellStyle name="Accent1 3 2 2" xfId="1556" xr:uid="{00000000-0005-0000-0000-000013060000}"/>
    <cellStyle name="Accent1 3 3" xfId="1557" xr:uid="{00000000-0005-0000-0000-000014060000}"/>
    <cellStyle name="Accent1 3 3 2" xfId="1558" xr:uid="{00000000-0005-0000-0000-000015060000}"/>
    <cellStyle name="Accent1 3 4" xfId="1559" xr:uid="{00000000-0005-0000-0000-000016060000}"/>
    <cellStyle name="Accent1 3 4 2" xfId="1560" xr:uid="{00000000-0005-0000-0000-000017060000}"/>
    <cellStyle name="Accent1 3 5" xfId="1561" xr:uid="{00000000-0005-0000-0000-000018060000}"/>
    <cellStyle name="Accent1 3 5 2" xfId="1562" xr:uid="{00000000-0005-0000-0000-000019060000}"/>
    <cellStyle name="Accent1 3 6" xfId="1563" xr:uid="{00000000-0005-0000-0000-00001A060000}"/>
    <cellStyle name="Accent1 4" xfId="1564" xr:uid="{00000000-0005-0000-0000-00001B060000}"/>
    <cellStyle name="Accent1 4 2" xfId="1565" xr:uid="{00000000-0005-0000-0000-00001C060000}"/>
    <cellStyle name="Accent1 4 2 2" xfId="1566" xr:uid="{00000000-0005-0000-0000-00001D060000}"/>
    <cellStyle name="Accent1 4 3" xfId="1567" xr:uid="{00000000-0005-0000-0000-00001E060000}"/>
    <cellStyle name="Accent1 4 3 2" xfId="1568" xr:uid="{00000000-0005-0000-0000-00001F060000}"/>
    <cellStyle name="Accent1 4 4" xfId="1569" xr:uid="{00000000-0005-0000-0000-000020060000}"/>
    <cellStyle name="Accent1 4 4 2" xfId="1570" xr:uid="{00000000-0005-0000-0000-000021060000}"/>
    <cellStyle name="Accent1 4 5" xfId="1571" xr:uid="{00000000-0005-0000-0000-000022060000}"/>
    <cellStyle name="Accent1 4 5 2" xfId="1572" xr:uid="{00000000-0005-0000-0000-000023060000}"/>
    <cellStyle name="Accent1 4 6" xfId="1573" xr:uid="{00000000-0005-0000-0000-000024060000}"/>
    <cellStyle name="Accent1 5" xfId="1574" xr:uid="{00000000-0005-0000-0000-000025060000}"/>
    <cellStyle name="Accent1 5 2" xfId="1575" xr:uid="{00000000-0005-0000-0000-000026060000}"/>
    <cellStyle name="Accent1 5 2 2" xfId="1576" xr:uid="{00000000-0005-0000-0000-000027060000}"/>
    <cellStyle name="Accent1 5 3" xfId="1577" xr:uid="{00000000-0005-0000-0000-000028060000}"/>
    <cellStyle name="Accent1 5 3 2" xfId="1578" xr:uid="{00000000-0005-0000-0000-000029060000}"/>
    <cellStyle name="Accent1 5 4" xfId="1579" xr:uid="{00000000-0005-0000-0000-00002A060000}"/>
    <cellStyle name="Accent1 5 4 2" xfId="1580" xr:uid="{00000000-0005-0000-0000-00002B060000}"/>
    <cellStyle name="Accent1 5 5" xfId="1581" xr:uid="{00000000-0005-0000-0000-00002C060000}"/>
    <cellStyle name="Accent1 5 5 2" xfId="1582" xr:uid="{00000000-0005-0000-0000-00002D060000}"/>
    <cellStyle name="Accent1 5 6" xfId="1583" xr:uid="{00000000-0005-0000-0000-00002E060000}"/>
    <cellStyle name="Accent1 6" xfId="1584" xr:uid="{00000000-0005-0000-0000-00002F060000}"/>
    <cellStyle name="Accent1 6 2" xfId="1585" xr:uid="{00000000-0005-0000-0000-000030060000}"/>
    <cellStyle name="Accent1 6 2 2" xfId="1586" xr:uid="{00000000-0005-0000-0000-000031060000}"/>
    <cellStyle name="Accent1 6 3" xfId="1587" xr:uid="{00000000-0005-0000-0000-000032060000}"/>
    <cellStyle name="Accent1 6 3 2" xfId="1588" xr:uid="{00000000-0005-0000-0000-000033060000}"/>
    <cellStyle name="Accent1 6 4" xfId="1589" xr:uid="{00000000-0005-0000-0000-000034060000}"/>
    <cellStyle name="Accent1 6 4 2" xfId="1590" xr:uid="{00000000-0005-0000-0000-000035060000}"/>
    <cellStyle name="Accent1 6 5" xfId="1591" xr:uid="{00000000-0005-0000-0000-000036060000}"/>
    <cellStyle name="Accent1 6 5 2" xfId="1592" xr:uid="{00000000-0005-0000-0000-000037060000}"/>
    <cellStyle name="Accent1 6 6" xfId="1593" xr:uid="{00000000-0005-0000-0000-000038060000}"/>
    <cellStyle name="Accent1 7" xfId="1594" xr:uid="{00000000-0005-0000-0000-000039060000}"/>
    <cellStyle name="Accent1 7 2" xfId="1595" xr:uid="{00000000-0005-0000-0000-00003A060000}"/>
    <cellStyle name="Accent1 7 2 2" xfId="1596" xr:uid="{00000000-0005-0000-0000-00003B060000}"/>
    <cellStyle name="Accent1 7 3" xfId="1597" xr:uid="{00000000-0005-0000-0000-00003C060000}"/>
    <cellStyle name="Accent1 7 3 2" xfId="1598" xr:uid="{00000000-0005-0000-0000-00003D060000}"/>
    <cellStyle name="Accent1 7 4" xfId="1599" xr:uid="{00000000-0005-0000-0000-00003E060000}"/>
    <cellStyle name="Accent1 7 4 2" xfId="1600" xr:uid="{00000000-0005-0000-0000-00003F060000}"/>
    <cellStyle name="Accent1 7 5" xfId="1601" xr:uid="{00000000-0005-0000-0000-000040060000}"/>
    <cellStyle name="Accent1 7 5 2" xfId="1602" xr:uid="{00000000-0005-0000-0000-000041060000}"/>
    <cellStyle name="Accent1 7 6" xfId="1603" xr:uid="{00000000-0005-0000-0000-000042060000}"/>
    <cellStyle name="Accent1 8" xfId="1604" xr:uid="{00000000-0005-0000-0000-000043060000}"/>
    <cellStyle name="Accent1 8 2" xfId="1605" xr:uid="{00000000-0005-0000-0000-000044060000}"/>
    <cellStyle name="Accent1 8 2 2" xfId="1606" xr:uid="{00000000-0005-0000-0000-000045060000}"/>
    <cellStyle name="Accent1 8 3" xfId="1607" xr:uid="{00000000-0005-0000-0000-000046060000}"/>
    <cellStyle name="Accent1 8 3 2" xfId="1608" xr:uid="{00000000-0005-0000-0000-000047060000}"/>
    <cellStyle name="Accent1 8 4" xfId="1609" xr:uid="{00000000-0005-0000-0000-000048060000}"/>
    <cellStyle name="Accent1 8 4 2" xfId="1610" xr:uid="{00000000-0005-0000-0000-000049060000}"/>
    <cellStyle name="Accent1 8 5" xfId="1611" xr:uid="{00000000-0005-0000-0000-00004A060000}"/>
    <cellStyle name="Accent1 8 5 2" xfId="1612" xr:uid="{00000000-0005-0000-0000-00004B060000}"/>
    <cellStyle name="Accent1 8 6" xfId="1613" xr:uid="{00000000-0005-0000-0000-00004C060000}"/>
    <cellStyle name="Accent1 9" xfId="1614" xr:uid="{00000000-0005-0000-0000-00004D060000}"/>
    <cellStyle name="Accent1 9 2" xfId="1615" xr:uid="{00000000-0005-0000-0000-00004E060000}"/>
    <cellStyle name="Accent2 10" xfId="1616" xr:uid="{00000000-0005-0000-0000-00004F060000}"/>
    <cellStyle name="Accent2 11" xfId="1617" xr:uid="{00000000-0005-0000-0000-000050060000}"/>
    <cellStyle name="Accent2 12" xfId="1618" xr:uid="{00000000-0005-0000-0000-000051060000}"/>
    <cellStyle name="Accent2 13" xfId="1619" xr:uid="{00000000-0005-0000-0000-000052060000}"/>
    <cellStyle name="Accent2 14" xfId="1620" xr:uid="{00000000-0005-0000-0000-000053060000}"/>
    <cellStyle name="Accent2 15" xfId="1621" xr:uid="{00000000-0005-0000-0000-000054060000}"/>
    <cellStyle name="Accent2 16" xfId="1622" xr:uid="{00000000-0005-0000-0000-000055060000}"/>
    <cellStyle name="Accent2 17" xfId="1623" xr:uid="{00000000-0005-0000-0000-000056060000}"/>
    <cellStyle name="Accent2 18" xfId="1624" xr:uid="{00000000-0005-0000-0000-000057060000}"/>
    <cellStyle name="Accent2 19" xfId="1625" xr:uid="{00000000-0005-0000-0000-000058060000}"/>
    <cellStyle name="Accent2 2" xfId="1626" xr:uid="{00000000-0005-0000-0000-000059060000}"/>
    <cellStyle name="Accent2 2 2" xfId="1627" xr:uid="{00000000-0005-0000-0000-00005A060000}"/>
    <cellStyle name="Accent2 2 2 2" xfId="1628" xr:uid="{00000000-0005-0000-0000-00005B060000}"/>
    <cellStyle name="Accent2 2 3" xfId="1629" xr:uid="{00000000-0005-0000-0000-00005C060000}"/>
    <cellStyle name="Accent2 2 3 2" xfId="1630" xr:uid="{00000000-0005-0000-0000-00005D060000}"/>
    <cellStyle name="Accent2 2 4" xfId="1631" xr:uid="{00000000-0005-0000-0000-00005E060000}"/>
    <cellStyle name="Accent2 2 4 2" xfId="1632" xr:uid="{00000000-0005-0000-0000-00005F060000}"/>
    <cellStyle name="Accent2 2 5" xfId="1633" xr:uid="{00000000-0005-0000-0000-000060060000}"/>
    <cellStyle name="Accent2 2 5 2" xfId="1634" xr:uid="{00000000-0005-0000-0000-000061060000}"/>
    <cellStyle name="Accent2 2 6" xfId="1635" xr:uid="{00000000-0005-0000-0000-000062060000}"/>
    <cellStyle name="Accent2 20" xfId="1636" xr:uid="{00000000-0005-0000-0000-000063060000}"/>
    <cellStyle name="Accent2 21" xfId="1637" xr:uid="{00000000-0005-0000-0000-000064060000}"/>
    <cellStyle name="Accent2 22" xfId="1638" xr:uid="{00000000-0005-0000-0000-000065060000}"/>
    <cellStyle name="Accent2 3" xfId="1639" xr:uid="{00000000-0005-0000-0000-000066060000}"/>
    <cellStyle name="Accent2 3 2" xfId="1640" xr:uid="{00000000-0005-0000-0000-000067060000}"/>
    <cellStyle name="Accent2 3 2 2" xfId="1641" xr:uid="{00000000-0005-0000-0000-000068060000}"/>
    <cellStyle name="Accent2 3 3" xfId="1642" xr:uid="{00000000-0005-0000-0000-000069060000}"/>
    <cellStyle name="Accent2 3 3 2" xfId="1643" xr:uid="{00000000-0005-0000-0000-00006A060000}"/>
    <cellStyle name="Accent2 3 4" xfId="1644" xr:uid="{00000000-0005-0000-0000-00006B060000}"/>
    <cellStyle name="Accent2 3 4 2" xfId="1645" xr:uid="{00000000-0005-0000-0000-00006C060000}"/>
    <cellStyle name="Accent2 3 5" xfId="1646" xr:uid="{00000000-0005-0000-0000-00006D060000}"/>
    <cellStyle name="Accent2 3 5 2" xfId="1647" xr:uid="{00000000-0005-0000-0000-00006E060000}"/>
    <cellStyle name="Accent2 3 6" xfId="1648" xr:uid="{00000000-0005-0000-0000-00006F060000}"/>
    <cellStyle name="Accent2 4" xfId="1649" xr:uid="{00000000-0005-0000-0000-000070060000}"/>
    <cellStyle name="Accent2 4 2" xfId="1650" xr:uid="{00000000-0005-0000-0000-000071060000}"/>
    <cellStyle name="Accent2 4 2 2" xfId="1651" xr:uid="{00000000-0005-0000-0000-000072060000}"/>
    <cellStyle name="Accent2 4 3" xfId="1652" xr:uid="{00000000-0005-0000-0000-000073060000}"/>
    <cellStyle name="Accent2 4 3 2" xfId="1653" xr:uid="{00000000-0005-0000-0000-000074060000}"/>
    <cellStyle name="Accent2 4 4" xfId="1654" xr:uid="{00000000-0005-0000-0000-000075060000}"/>
    <cellStyle name="Accent2 4 4 2" xfId="1655" xr:uid="{00000000-0005-0000-0000-000076060000}"/>
    <cellStyle name="Accent2 4 5" xfId="1656" xr:uid="{00000000-0005-0000-0000-000077060000}"/>
    <cellStyle name="Accent2 4 5 2" xfId="1657" xr:uid="{00000000-0005-0000-0000-000078060000}"/>
    <cellStyle name="Accent2 4 6" xfId="1658" xr:uid="{00000000-0005-0000-0000-000079060000}"/>
    <cellStyle name="Accent2 5" xfId="1659" xr:uid="{00000000-0005-0000-0000-00007A060000}"/>
    <cellStyle name="Accent2 5 2" xfId="1660" xr:uid="{00000000-0005-0000-0000-00007B060000}"/>
    <cellStyle name="Accent2 5 2 2" xfId="1661" xr:uid="{00000000-0005-0000-0000-00007C060000}"/>
    <cellStyle name="Accent2 5 3" xfId="1662" xr:uid="{00000000-0005-0000-0000-00007D060000}"/>
    <cellStyle name="Accent2 5 3 2" xfId="1663" xr:uid="{00000000-0005-0000-0000-00007E060000}"/>
    <cellStyle name="Accent2 5 4" xfId="1664" xr:uid="{00000000-0005-0000-0000-00007F060000}"/>
    <cellStyle name="Accent2 5 4 2" xfId="1665" xr:uid="{00000000-0005-0000-0000-000080060000}"/>
    <cellStyle name="Accent2 5 5" xfId="1666" xr:uid="{00000000-0005-0000-0000-000081060000}"/>
    <cellStyle name="Accent2 5 5 2" xfId="1667" xr:uid="{00000000-0005-0000-0000-000082060000}"/>
    <cellStyle name="Accent2 5 6" xfId="1668" xr:uid="{00000000-0005-0000-0000-000083060000}"/>
    <cellStyle name="Accent2 6" xfId="1669" xr:uid="{00000000-0005-0000-0000-000084060000}"/>
    <cellStyle name="Accent2 6 2" xfId="1670" xr:uid="{00000000-0005-0000-0000-000085060000}"/>
    <cellStyle name="Accent2 6 2 2" xfId="1671" xr:uid="{00000000-0005-0000-0000-000086060000}"/>
    <cellStyle name="Accent2 6 3" xfId="1672" xr:uid="{00000000-0005-0000-0000-000087060000}"/>
    <cellStyle name="Accent2 6 3 2" xfId="1673" xr:uid="{00000000-0005-0000-0000-000088060000}"/>
    <cellStyle name="Accent2 6 4" xfId="1674" xr:uid="{00000000-0005-0000-0000-000089060000}"/>
    <cellStyle name="Accent2 6 4 2" xfId="1675" xr:uid="{00000000-0005-0000-0000-00008A060000}"/>
    <cellStyle name="Accent2 6 5" xfId="1676" xr:uid="{00000000-0005-0000-0000-00008B060000}"/>
    <cellStyle name="Accent2 6 5 2" xfId="1677" xr:uid="{00000000-0005-0000-0000-00008C060000}"/>
    <cellStyle name="Accent2 6 6" xfId="1678" xr:uid="{00000000-0005-0000-0000-00008D060000}"/>
    <cellStyle name="Accent2 7" xfId="1679" xr:uid="{00000000-0005-0000-0000-00008E060000}"/>
    <cellStyle name="Accent2 7 2" xfId="1680" xr:uid="{00000000-0005-0000-0000-00008F060000}"/>
    <cellStyle name="Accent2 7 2 2" xfId="1681" xr:uid="{00000000-0005-0000-0000-000090060000}"/>
    <cellStyle name="Accent2 7 3" xfId="1682" xr:uid="{00000000-0005-0000-0000-000091060000}"/>
    <cellStyle name="Accent2 7 3 2" xfId="1683" xr:uid="{00000000-0005-0000-0000-000092060000}"/>
    <cellStyle name="Accent2 7 4" xfId="1684" xr:uid="{00000000-0005-0000-0000-000093060000}"/>
    <cellStyle name="Accent2 7 4 2" xfId="1685" xr:uid="{00000000-0005-0000-0000-000094060000}"/>
    <cellStyle name="Accent2 7 5" xfId="1686" xr:uid="{00000000-0005-0000-0000-000095060000}"/>
    <cellStyle name="Accent2 7 5 2" xfId="1687" xr:uid="{00000000-0005-0000-0000-000096060000}"/>
    <cellStyle name="Accent2 7 6" xfId="1688" xr:uid="{00000000-0005-0000-0000-000097060000}"/>
    <cellStyle name="Accent2 8" xfId="1689" xr:uid="{00000000-0005-0000-0000-000098060000}"/>
    <cellStyle name="Accent2 8 2" xfId="1690" xr:uid="{00000000-0005-0000-0000-000099060000}"/>
    <cellStyle name="Accent2 8 2 2" xfId="1691" xr:uid="{00000000-0005-0000-0000-00009A060000}"/>
    <cellStyle name="Accent2 8 3" xfId="1692" xr:uid="{00000000-0005-0000-0000-00009B060000}"/>
    <cellStyle name="Accent2 8 3 2" xfId="1693" xr:uid="{00000000-0005-0000-0000-00009C060000}"/>
    <cellStyle name="Accent2 8 4" xfId="1694" xr:uid="{00000000-0005-0000-0000-00009D060000}"/>
    <cellStyle name="Accent2 8 4 2" xfId="1695" xr:uid="{00000000-0005-0000-0000-00009E060000}"/>
    <cellStyle name="Accent2 8 5" xfId="1696" xr:uid="{00000000-0005-0000-0000-00009F060000}"/>
    <cellStyle name="Accent2 8 5 2" xfId="1697" xr:uid="{00000000-0005-0000-0000-0000A0060000}"/>
    <cellStyle name="Accent2 8 6" xfId="1698" xr:uid="{00000000-0005-0000-0000-0000A1060000}"/>
    <cellStyle name="Accent2 9" xfId="1699" xr:uid="{00000000-0005-0000-0000-0000A2060000}"/>
    <cellStyle name="Accent2 9 2" xfId="1700" xr:uid="{00000000-0005-0000-0000-0000A3060000}"/>
    <cellStyle name="Accent3 10" xfId="1701" xr:uid="{00000000-0005-0000-0000-0000A4060000}"/>
    <cellStyle name="Accent3 11" xfId="1702" xr:uid="{00000000-0005-0000-0000-0000A5060000}"/>
    <cellStyle name="Accent3 12" xfId="1703" xr:uid="{00000000-0005-0000-0000-0000A6060000}"/>
    <cellStyle name="Accent3 13" xfId="1704" xr:uid="{00000000-0005-0000-0000-0000A7060000}"/>
    <cellStyle name="Accent3 14" xfId="1705" xr:uid="{00000000-0005-0000-0000-0000A8060000}"/>
    <cellStyle name="Accent3 15" xfId="1706" xr:uid="{00000000-0005-0000-0000-0000A9060000}"/>
    <cellStyle name="Accent3 16" xfId="1707" xr:uid="{00000000-0005-0000-0000-0000AA060000}"/>
    <cellStyle name="Accent3 17" xfId="1708" xr:uid="{00000000-0005-0000-0000-0000AB060000}"/>
    <cellStyle name="Accent3 18" xfId="1709" xr:uid="{00000000-0005-0000-0000-0000AC060000}"/>
    <cellStyle name="Accent3 19" xfId="1710" xr:uid="{00000000-0005-0000-0000-0000AD060000}"/>
    <cellStyle name="Accent3 2" xfId="1711" xr:uid="{00000000-0005-0000-0000-0000AE060000}"/>
    <cellStyle name="Accent3 2 2" xfId="1712" xr:uid="{00000000-0005-0000-0000-0000AF060000}"/>
    <cellStyle name="Accent3 2 2 2" xfId="1713" xr:uid="{00000000-0005-0000-0000-0000B0060000}"/>
    <cellStyle name="Accent3 2 3" xfId="1714" xr:uid="{00000000-0005-0000-0000-0000B1060000}"/>
    <cellStyle name="Accent3 2 3 2" xfId="1715" xr:uid="{00000000-0005-0000-0000-0000B2060000}"/>
    <cellStyle name="Accent3 2 4" xfId="1716" xr:uid="{00000000-0005-0000-0000-0000B3060000}"/>
    <cellStyle name="Accent3 2 4 2" xfId="1717" xr:uid="{00000000-0005-0000-0000-0000B4060000}"/>
    <cellStyle name="Accent3 2 5" xfId="1718" xr:uid="{00000000-0005-0000-0000-0000B5060000}"/>
    <cellStyle name="Accent3 2 5 2" xfId="1719" xr:uid="{00000000-0005-0000-0000-0000B6060000}"/>
    <cellStyle name="Accent3 2 6" xfId="1720" xr:uid="{00000000-0005-0000-0000-0000B7060000}"/>
    <cellStyle name="Accent3 20" xfId="1721" xr:uid="{00000000-0005-0000-0000-0000B8060000}"/>
    <cellStyle name="Accent3 21" xfId="1722" xr:uid="{00000000-0005-0000-0000-0000B9060000}"/>
    <cellStyle name="Accent3 22" xfId="1723" xr:uid="{00000000-0005-0000-0000-0000BA060000}"/>
    <cellStyle name="Accent3 3" xfId="1724" xr:uid="{00000000-0005-0000-0000-0000BB060000}"/>
    <cellStyle name="Accent3 3 2" xfId="1725" xr:uid="{00000000-0005-0000-0000-0000BC060000}"/>
    <cellStyle name="Accent3 3 2 2" xfId="1726" xr:uid="{00000000-0005-0000-0000-0000BD060000}"/>
    <cellStyle name="Accent3 3 3" xfId="1727" xr:uid="{00000000-0005-0000-0000-0000BE060000}"/>
    <cellStyle name="Accent3 3 3 2" xfId="1728" xr:uid="{00000000-0005-0000-0000-0000BF060000}"/>
    <cellStyle name="Accent3 3 4" xfId="1729" xr:uid="{00000000-0005-0000-0000-0000C0060000}"/>
    <cellStyle name="Accent3 3 4 2" xfId="1730" xr:uid="{00000000-0005-0000-0000-0000C1060000}"/>
    <cellStyle name="Accent3 3 5" xfId="1731" xr:uid="{00000000-0005-0000-0000-0000C2060000}"/>
    <cellStyle name="Accent3 3 5 2" xfId="1732" xr:uid="{00000000-0005-0000-0000-0000C3060000}"/>
    <cellStyle name="Accent3 3 6" xfId="1733" xr:uid="{00000000-0005-0000-0000-0000C4060000}"/>
    <cellStyle name="Accent3 4" xfId="1734" xr:uid="{00000000-0005-0000-0000-0000C5060000}"/>
    <cellStyle name="Accent3 4 2" xfId="1735" xr:uid="{00000000-0005-0000-0000-0000C6060000}"/>
    <cellStyle name="Accent3 4 2 2" xfId="1736" xr:uid="{00000000-0005-0000-0000-0000C7060000}"/>
    <cellStyle name="Accent3 4 3" xfId="1737" xr:uid="{00000000-0005-0000-0000-0000C8060000}"/>
    <cellStyle name="Accent3 4 3 2" xfId="1738" xr:uid="{00000000-0005-0000-0000-0000C9060000}"/>
    <cellStyle name="Accent3 4 4" xfId="1739" xr:uid="{00000000-0005-0000-0000-0000CA060000}"/>
    <cellStyle name="Accent3 4 4 2" xfId="1740" xr:uid="{00000000-0005-0000-0000-0000CB060000}"/>
    <cellStyle name="Accent3 4 5" xfId="1741" xr:uid="{00000000-0005-0000-0000-0000CC060000}"/>
    <cellStyle name="Accent3 4 5 2" xfId="1742" xr:uid="{00000000-0005-0000-0000-0000CD060000}"/>
    <cellStyle name="Accent3 4 6" xfId="1743" xr:uid="{00000000-0005-0000-0000-0000CE060000}"/>
    <cellStyle name="Accent3 5" xfId="1744" xr:uid="{00000000-0005-0000-0000-0000CF060000}"/>
    <cellStyle name="Accent3 5 2" xfId="1745" xr:uid="{00000000-0005-0000-0000-0000D0060000}"/>
    <cellStyle name="Accent3 5 2 2" xfId="1746" xr:uid="{00000000-0005-0000-0000-0000D1060000}"/>
    <cellStyle name="Accent3 5 3" xfId="1747" xr:uid="{00000000-0005-0000-0000-0000D2060000}"/>
    <cellStyle name="Accent3 5 3 2" xfId="1748" xr:uid="{00000000-0005-0000-0000-0000D3060000}"/>
    <cellStyle name="Accent3 5 4" xfId="1749" xr:uid="{00000000-0005-0000-0000-0000D4060000}"/>
    <cellStyle name="Accent3 5 4 2" xfId="1750" xr:uid="{00000000-0005-0000-0000-0000D5060000}"/>
    <cellStyle name="Accent3 5 5" xfId="1751" xr:uid="{00000000-0005-0000-0000-0000D6060000}"/>
    <cellStyle name="Accent3 5 5 2" xfId="1752" xr:uid="{00000000-0005-0000-0000-0000D7060000}"/>
    <cellStyle name="Accent3 5 6" xfId="1753" xr:uid="{00000000-0005-0000-0000-0000D8060000}"/>
    <cellStyle name="Accent3 6" xfId="1754" xr:uid="{00000000-0005-0000-0000-0000D9060000}"/>
    <cellStyle name="Accent3 6 2" xfId="1755" xr:uid="{00000000-0005-0000-0000-0000DA060000}"/>
    <cellStyle name="Accent3 6 2 2" xfId="1756" xr:uid="{00000000-0005-0000-0000-0000DB060000}"/>
    <cellStyle name="Accent3 6 3" xfId="1757" xr:uid="{00000000-0005-0000-0000-0000DC060000}"/>
    <cellStyle name="Accent3 6 3 2" xfId="1758" xr:uid="{00000000-0005-0000-0000-0000DD060000}"/>
    <cellStyle name="Accent3 6 4" xfId="1759" xr:uid="{00000000-0005-0000-0000-0000DE060000}"/>
    <cellStyle name="Accent3 6 4 2" xfId="1760" xr:uid="{00000000-0005-0000-0000-0000DF060000}"/>
    <cellStyle name="Accent3 6 5" xfId="1761" xr:uid="{00000000-0005-0000-0000-0000E0060000}"/>
    <cellStyle name="Accent3 6 5 2" xfId="1762" xr:uid="{00000000-0005-0000-0000-0000E1060000}"/>
    <cellStyle name="Accent3 6 6" xfId="1763" xr:uid="{00000000-0005-0000-0000-0000E2060000}"/>
    <cellStyle name="Accent3 7" xfId="1764" xr:uid="{00000000-0005-0000-0000-0000E3060000}"/>
    <cellStyle name="Accent3 7 2" xfId="1765" xr:uid="{00000000-0005-0000-0000-0000E4060000}"/>
    <cellStyle name="Accent3 7 2 2" xfId="1766" xr:uid="{00000000-0005-0000-0000-0000E5060000}"/>
    <cellStyle name="Accent3 7 3" xfId="1767" xr:uid="{00000000-0005-0000-0000-0000E6060000}"/>
    <cellStyle name="Accent3 7 3 2" xfId="1768" xr:uid="{00000000-0005-0000-0000-0000E7060000}"/>
    <cellStyle name="Accent3 7 4" xfId="1769" xr:uid="{00000000-0005-0000-0000-0000E8060000}"/>
    <cellStyle name="Accent3 7 4 2" xfId="1770" xr:uid="{00000000-0005-0000-0000-0000E9060000}"/>
    <cellStyle name="Accent3 7 5" xfId="1771" xr:uid="{00000000-0005-0000-0000-0000EA060000}"/>
    <cellStyle name="Accent3 7 5 2" xfId="1772" xr:uid="{00000000-0005-0000-0000-0000EB060000}"/>
    <cellStyle name="Accent3 7 6" xfId="1773" xr:uid="{00000000-0005-0000-0000-0000EC060000}"/>
    <cellStyle name="Accent3 8" xfId="1774" xr:uid="{00000000-0005-0000-0000-0000ED060000}"/>
    <cellStyle name="Accent3 8 2" xfId="1775" xr:uid="{00000000-0005-0000-0000-0000EE060000}"/>
    <cellStyle name="Accent3 8 2 2" xfId="1776" xr:uid="{00000000-0005-0000-0000-0000EF060000}"/>
    <cellStyle name="Accent3 8 3" xfId="1777" xr:uid="{00000000-0005-0000-0000-0000F0060000}"/>
    <cellStyle name="Accent3 8 3 2" xfId="1778" xr:uid="{00000000-0005-0000-0000-0000F1060000}"/>
    <cellStyle name="Accent3 8 4" xfId="1779" xr:uid="{00000000-0005-0000-0000-0000F2060000}"/>
    <cellStyle name="Accent3 8 4 2" xfId="1780" xr:uid="{00000000-0005-0000-0000-0000F3060000}"/>
    <cellStyle name="Accent3 8 5" xfId="1781" xr:uid="{00000000-0005-0000-0000-0000F4060000}"/>
    <cellStyle name="Accent3 8 5 2" xfId="1782" xr:uid="{00000000-0005-0000-0000-0000F5060000}"/>
    <cellStyle name="Accent3 8 6" xfId="1783" xr:uid="{00000000-0005-0000-0000-0000F6060000}"/>
    <cellStyle name="Accent3 9" xfId="1784" xr:uid="{00000000-0005-0000-0000-0000F7060000}"/>
    <cellStyle name="Accent3 9 2" xfId="1785" xr:uid="{00000000-0005-0000-0000-0000F8060000}"/>
    <cellStyle name="Accent4 10" xfId="1786" xr:uid="{00000000-0005-0000-0000-0000F9060000}"/>
    <cellStyle name="Accent4 11" xfId="1787" xr:uid="{00000000-0005-0000-0000-0000FA060000}"/>
    <cellStyle name="Accent4 12" xfId="1788" xr:uid="{00000000-0005-0000-0000-0000FB060000}"/>
    <cellStyle name="Accent4 13" xfId="1789" xr:uid="{00000000-0005-0000-0000-0000FC060000}"/>
    <cellStyle name="Accent4 14" xfId="1790" xr:uid="{00000000-0005-0000-0000-0000FD060000}"/>
    <cellStyle name="Accent4 15" xfId="1791" xr:uid="{00000000-0005-0000-0000-0000FE060000}"/>
    <cellStyle name="Accent4 16" xfId="1792" xr:uid="{00000000-0005-0000-0000-0000FF060000}"/>
    <cellStyle name="Accent4 17" xfId="1793" xr:uid="{00000000-0005-0000-0000-000000070000}"/>
    <cellStyle name="Accent4 18" xfId="1794" xr:uid="{00000000-0005-0000-0000-000001070000}"/>
    <cellStyle name="Accent4 19" xfId="1795" xr:uid="{00000000-0005-0000-0000-000002070000}"/>
    <cellStyle name="Accent4 2" xfId="1796" xr:uid="{00000000-0005-0000-0000-000003070000}"/>
    <cellStyle name="Accent4 2 2" xfId="1797" xr:uid="{00000000-0005-0000-0000-000004070000}"/>
    <cellStyle name="Accent4 2 2 2" xfId="1798" xr:uid="{00000000-0005-0000-0000-000005070000}"/>
    <cellStyle name="Accent4 2 3" xfId="1799" xr:uid="{00000000-0005-0000-0000-000006070000}"/>
    <cellStyle name="Accent4 2 3 2" xfId="1800" xr:uid="{00000000-0005-0000-0000-000007070000}"/>
    <cellStyle name="Accent4 2 4" xfId="1801" xr:uid="{00000000-0005-0000-0000-000008070000}"/>
    <cellStyle name="Accent4 2 4 2" xfId="1802" xr:uid="{00000000-0005-0000-0000-000009070000}"/>
    <cellStyle name="Accent4 2 5" xfId="1803" xr:uid="{00000000-0005-0000-0000-00000A070000}"/>
    <cellStyle name="Accent4 2 5 2" xfId="1804" xr:uid="{00000000-0005-0000-0000-00000B070000}"/>
    <cellStyle name="Accent4 2 6" xfId="1805" xr:uid="{00000000-0005-0000-0000-00000C070000}"/>
    <cellStyle name="Accent4 20" xfId="1806" xr:uid="{00000000-0005-0000-0000-00000D070000}"/>
    <cellStyle name="Accent4 21" xfId="1807" xr:uid="{00000000-0005-0000-0000-00000E070000}"/>
    <cellStyle name="Accent4 22" xfId="1808" xr:uid="{00000000-0005-0000-0000-00000F070000}"/>
    <cellStyle name="Accent4 3" xfId="1809" xr:uid="{00000000-0005-0000-0000-000010070000}"/>
    <cellStyle name="Accent4 3 2" xfId="1810" xr:uid="{00000000-0005-0000-0000-000011070000}"/>
    <cellStyle name="Accent4 3 2 2" xfId="1811" xr:uid="{00000000-0005-0000-0000-000012070000}"/>
    <cellStyle name="Accent4 3 3" xfId="1812" xr:uid="{00000000-0005-0000-0000-000013070000}"/>
    <cellStyle name="Accent4 3 3 2" xfId="1813" xr:uid="{00000000-0005-0000-0000-000014070000}"/>
    <cellStyle name="Accent4 3 4" xfId="1814" xr:uid="{00000000-0005-0000-0000-000015070000}"/>
    <cellStyle name="Accent4 3 4 2" xfId="1815" xr:uid="{00000000-0005-0000-0000-000016070000}"/>
    <cellStyle name="Accent4 3 5" xfId="1816" xr:uid="{00000000-0005-0000-0000-000017070000}"/>
    <cellStyle name="Accent4 3 5 2" xfId="1817" xr:uid="{00000000-0005-0000-0000-000018070000}"/>
    <cellStyle name="Accent4 3 6" xfId="1818" xr:uid="{00000000-0005-0000-0000-000019070000}"/>
    <cellStyle name="Accent4 4" xfId="1819" xr:uid="{00000000-0005-0000-0000-00001A070000}"/>
    <cellStyle name="Accent4 4 2" xfId="1820" xr:uid="{00000000-0005-0000-0000-00001B070000}"/>
    <cellStyle name="Accent4 4 2 2" xfId="1821" xr:uid="{00000000-0005-0000-0000-00001C070000}"/>
    <cellStyle name="Accent4 4 3" xfId="1822" xr:uid="{00000000-0005-0000-0000-00001D070000}"/>
    <cellStyle name="Accent4 4 3 2" xfId="1823" xr:uid="{00000000-0005-0000-0000-00001E070000}"/>
    <cellStyle name="Accent4 4 4" xfId="1824" xr:uid="{00000000-0005-0000-0000-00001F070000}"/>
    <cellStyle name="Accent4 4 4 2" xfId="1825" xr:uid="{00000000-0005-0000-0000-000020070000}"/>
    <cellStyle name="Accent4 4 5" xfId="1826" xr:uid="{00000000-0005-0000-0000-000021070000}"/>
    <cellStyle name="Accent4 4 5 2" xfId="1827" xr:uid="{00000000-0005-0000-0000-000022070000}"/>
    <cellStyle name="Accent4 4 6" xfId="1828" xr:uid="{00000000-0005-0000-0000-000023070000}"/>
    <cellStyle name="Accent4 5" xfId="1829" xr:uid="{00000000-0005-0000-0000-000024070000}"/>
    <cellStyle name="Accent4 5 2" xfId="1830" xr:uid="{00000000-0005-0000-0000-000025070000}"/>
    <cellStyle name="Accent4 5 2 2" xfId="1831" xr:uid="{00000000-0005-0000-0000-000026070000}"/>
    <cellStyle name="Accent4 5 3" xfId="1832" xr:uid="{00000000-0005-0000-0000-000027070000}"/>
    <cellStyle name="Accent4 5 3 2" xfId="1833" xr:uid="{00000000-0005-0000-0000-000028070000}"/>
    <cellStyle name="Accent4 5 4" xfId="1834" xr:uid="{00000000-0005-0000-0000-000029070000}"/>
    <cellStyle name="Accent4 5 4 2" xfId="1835" xr:uid="{00000000-0005-0000-0000-00002A070000}"/>
    <cellStyle name="Accent4 5 5" xfId="1836" xr:uid="{00000000-0005-0000-0000-00002B070000}"/>
    <cellStyle name="Accent4 5 5 2" xfId="1837" xr:uid="{00000000-0005-0000-0000-00002C070000}"/>
    <cellStyle name="Accent4 5 6" xfId="1838" xr:uid="{00000000-0005-0000-0000-00002D070000}"/>
    <cellStyle name="Accent4 6" xfId="1839" xr:uid="{00000000-0005-0000-0000-00002E070000}"/>
    <cellStyle name="Accent4 6 2" xfId="1840" xr:uid="{00000000-0005-0000-0000-00002F070000}"/>
    <cellStyle name="Accent4 6 2 2" xfId="1841" xr:uid="{00000000-0005-0000-0000-000030070000}"/>
    <cellStyle name="Accent4 6 3" xfId="1842" xr:uid="{00000000-0005-0000-0000-000031070000}"/>
    <cellStyle name="Accent4 6 3 2" xfId="1843" xr:uid="{00000000-0005-0000-0000-000032070000}"/>
    <cellStyle name="Accent4 6 4" xfId="1844" xr:uid="{00000000-0005-0000-0000-000033070000}"/>
    <cellStyle name="Accent4 6 4 2" xfId="1845" xr:uid="{00000000-0005-0000-0000-000034070000}"/>
    <cellStyle name="Accent4 6 5" xfId="1846" xr:uid="{00000000-0005-0000-0000-000035070000}"/>
    <cellStyle name="Accent4 6 5 2" xfId="1847" xr:uid="{00000000-0005-0000-0000-000036070000}"/>
    <cellStyle name="Accent4 6 6" xfId="1848" xr:uid="{00000000-0005-0000-0000-000037070000}"/>
    <cellStyle name="Accent4 7" xfId="1849" xr:uid="{00000000-0005-0000-0000-000038070000}"/>
    <cellStyle name="Accent4 7 2" xfId="1850" xr:uid="{00000000-0005-0000-0000-000039070000}"/>
    <cellStyle name="Accent4 7 2 2" xfId="1851" xr:uid="{00000000-0005-0000-0000-00003A070000}"/>
    <cellStyle name="Accent4 7 3" xfId="1852" xr:uid="{00000000-0005-0000-0000-00003B070000}"/>
    <cellStyle name="Accent4 7 3 2" xfId="1853" xr:uid="{00000000-0005-0000-0000-00003C070000}"/>
    <cellStyle name="Accent4 7 4" xfId="1854" xr:uid="{00000000-0005-0000-0000-00003D070000}"/>
    <cellStyle name="Accent4 7 4 2" xfId="1855" xr:uid="{00000000-0005-0000-0000-00003E070000}"/>
    <cellStyle name="Accent4 7 5" xfId="1856" xr:uid="{00000000-0005-0000-0000-00003F070000}"/>
    <cellStyle name="Accent4 7 5 2" xfId="1857" xr:uid="{00000000-0005-0000-0000-000040070000}"/>
    <cellStyle name="Accent4 7 6" xfId="1858" xr:uid="{00000000-0005-0000-0000-000041070000}"/>
    <cellStyle name="Accent4 8" xfId="1859" xr:uid="{00000000-0005-0000-0000-000042070000}"/>
    <cellStyle name="Accent4 8 2" xfId="1860" xr:uid="{00000000-0005-0000-0000-000043070000}"/>
    <cellStyle name="Accent4 8 2 2" xfId="1861" xr:uid="{00000000-0005-0000-0000-000044070000}"/>
    <cellStyle name="Accent4 8 3" xfId="1862" xr:uid="{00000000-0005-0000-0000-000045070000}"/>
    <cellStyle name="Accent4 8 3 2" xfId="1863" xr:uid="{00000000-0005-0000-0000-000046070000}"/>
    <cellStyle name="Accent4 8 4" xfId="1864" xr:uid="{00000000-0005-0000-0000-000047070000}"/>
    <cellStyle name="Accent4 8 4 2" xfId="1865" xr:uid="{00000000-0005-0000-0000-000048070000}"/>
    <cellStyle name="Accent4 8 5" xfId="1866" xr:uid="{00000000-0005-0000-0000-000049070000}"/>
    <cellStyle name="Accent4 8 5 2" xfId="1867" xr:uid="{00000000-0005-0000-0000-00004A070000}"/>
    <cellStyle name="Accent4 8 6" xfId="1868" xr:uid="{00000000-0005-0000-0000-00004B070000}"/>
    <cellStyle name="Accent4 9" xfId="1869" xr:uid="{00000000-0005-0000-0000-00004C070000}"/>
    <cellStyle name="Accent4 9 2" xfId="1870" xr:uid="{00000000-0005-0000-0000-00004D070000}"/>
    <cellStyle name="Accent5 10" xfId="1871" xr:uid="{00000000-0005-0000-0000-00004E070000}"/>
    <cellStyle name="Accent5 11" xfId="1872" xr:uid="{00000000-0005-0000-0000-00004F070000}"/>
    <cellStyle name="Accent5 12" xfId="1873" xr:uid="{00000000-0005-0000-0000-000050070000}"/>
    <cellStyle name="Accent5 13" xfId="1874" xr:uid="{00000000-0005-0000-0000-000051070000}"/>
    <cellStyle name="Accent5 14" xfId="1875" xr:uid="{00000000-0005-0000-0000-000052070000}"/>
    <cellStyle name="Accent5 15" xfId="1876" xr:uid="{00000000-0005-0000-0000-000053070000}"/>
    <cellStyle name="Accent5 16" xfId="1877" xr:uid="{00000000-0005-0000-0000-000054070000}"/>
    <cellStyle name="Accent5 17" xfId="1878" xr:uid="{00000000-0005-0000-0000-000055070000}"/>
    <cellStyle name="Accent5 18" xfId="1879" xr:uid="{00000000-0005-0000-0000-000056070000}"/>
    <cellStyle name="Accent5 19" xfId="1880" xr:uid="{00000000-0005-0000-0000-000057070000}"/>
    <cellStyle name="Accent5 2" xfId="1881" xr:uid="{00000000-0005-0000-0000-000058070000}"/>
    <cellStyle name="Accent5 2 2" xfId="1882" xr:uid="{00000000-0005-0000-0000-000059070000}"/>
    <cellStyle name="Accent5 2 2 2" xfId="1883" xr:uid="{00000000-0005-0000-0000-00005A070000}"/>
    <cellStyle name="Accent5 2 3" xfId="1884" xr:uid="{00000000-0005-0000-0000-00005B070000}"/>
    <cellStyle name="Accent5 2 3 2" xfId="1885" xr:uid="{00000000-0005-0000-0000-00005C070000}"/>
    <cellStyle name="Accent5 2 4" xfId="1886" xr:uid="{00000000-0005-0000-0000-00005D070000}"/>
    <cellStyle name="Accent5 2 4 2" xfId="1887" xr:uid="{00000000-0005-0000-0000-00005E070000}"/>
    <cellStyle name="Accent5 2 5" xfId="1888" xr:uid="{00000000-0005-0000-0000-00005F070000}"/>
    <cellStyle name="Accent5 2 5 2" xfId="1889" xr:uid="{00000000-0005-0000-0000-000060070000}"/>
    <cellStyle name="Accent5 2 6" xfId="1890" xr:uid="{00000000-0005-0000-0000-000061070000}"/>
    <cellStyle name="Accent5 20" xfId="1891" xr:uid="{00000000-0005-0000-0000-000062070000}"/>
    <cellStyle name="Accent5 21" xfId="1892" xr:uid="{00000000-0005-0000-0000-000063070000}"/>
    <cellStyle name="Accent5 22" xfId="1893" xr:uid="{00000000-0005-0000-0000-000064070000}"/>
    <cellStyle name="Accent5 3" xfId="1894" xr:uid="{00000000-0005-0000-0000-000065070000}"/>
    <cellStyle name="Accent5 3 2" xfId="1895" xr:uid="{00000000-0005-0000-0000-000066070000}"/>
    <cellStyle name="Accent5 3 2 2" xfId="1896" xr:uid="{00000000-0005-0000-0000-000067070000}"/>
    <cellStyle name="Accent5 3 3" xfId="1897" xr:uid="{00000000-0005-0000-0000-000068070000}"/>
    <cellStyle name="Accent5 3 3 2" xfId="1898" xr:uid="{00000000-0005-0000-0000-000069070000}"/>
    <cellStyle name="Accent5 3 4" xfId="1899" xr:uid="{00000000-0005-0000-0000-00006A070000}"/>
    <cellStyle name="Accent5 3 4 2" xfId="1900" xr:uid="{00000000-0005-0000-0000-00006B070000}"/>
    <cellStyle name="Accent5 3 5" xfId="1901" xr:uid="{00000000-0005-0000-0000-00006C070000}"/>
    <cellStyle name="Accent5 3 5 2" xfId="1902" xr:uid="{00000000-0005-0000-0000-00006D070000}"/>
    <cellStyle name="Accent5 3 6" xfId="1903" xr:uid="{00000000-0005-0000-0000-00006E070000}"/>
    <cellStyle name="Accent5 4" xfId="1904" xr:uid="{00000000-0005-0000-0000-00006F070000}"/>
    <cellStyle name="Accent5 4 2" xfId="1905" xr:uid="{00000000-0005-0000-0000-000070070000}"/>
    <cellStyle name="Accent5 4 2 2" xfId="1906" xr:uid="{00000000-0005-0000-0000-000071070000}"/>
    <cellStyle name="Accent5 4 3" xfId="1907" xr:uid="{00000000-0005-0000-0000-000072070000}"/>
    <cellStyle name="Accent5 4 3 2" xfId="1908" xr:uid="{00000000-0005-0000-0000-000073070000}"/>
    <cellStyle name="Accent5 4 4" xfId="1909" xr:uid="{00000000-0005-0000-0000-000074070000}"/>
    <cellStyle name="Accent5 4 4 2" xfId="1910" xr:uid="{00000000-0005-0000-0000-000075070000}"/>
    <cellStyle name="Accent5 4 5" xfId="1911" xr:uid="{00000000-0005-0000-0000-000076070000}"/>
    <cellStyle name="Accent5 4 5 2" xfId="1912" xr:uid="{00000000-0005-0000-0000-000077070000}"/>
    <cellStyle name="Accent5 4 6" xfId="1913" xr:uid="{00000000-0005-0000-0000-000078070000}"/>
    <cellStyle name="Accent5 5" xfId="1914" xr:uid="{00000000-0005-0000-0000-000079070000}"/>
    <cellStyle name="Accent5 5 2" xfId="1915" xr:uid="{00000000-0005-0000-0000-00007A070000}"/>
    <cellStyle name="Accent5 5 2 2" xfId="1916" xr:uid="{00000000-0005-0000-0000-00007B070000}"/>
    <cellStyle name="Accent5 5 3" xfId="1917" xr:uid="{00000000-0005-0000-0000-00007C070000}"/>
    <cellStyle name="Accent5 5 3 2" xfId="1918" xr:uid="{00000000-0005-0000-0000-00007D070000}"/>
    <cellStyle name="Accent5 5 4" xfId="1919" xr:uid="{00000000-0005-0000-0000-00007E070000}"/>
    <cellStyle name="Accent5 5 4 2" xfId="1920" xr:uid="{00000000-0005-0000-0000-00007F070000}"/>
    <cellStyle name="Accent5 5 5" xfId="1921" xr:uid="{00000000-0005-0000-0000-000080070000}"/>
    <cellStyle name="Accent5 5 5 2" xfId="1922" xr:uid="{00000000-0005-0000-0000-000081070000}"/>
    <cellStyle name="Accent5 5 6" xfId="1923" xr:uid="{00000000-0005-0000-0000-000082070000}"/>
    <cellStyle name="Accent5 6" xfId="1924" xr:uid="{00000000-0005-0000-0000-000083070000}"/>
    <cellStyle name="Accent5 6 2" xfId="1925" xr:uid="{00000000-0005-0000-0000-000084070000}"/>
    <cellStyle name="Accent5 6 2 2" xfId="1926" xr:uid="{00000000-0005-0000-0000-000085070000}"/>
    <cellStyle name="Accent5 6 3" xfId="1927" xr:uid="{00000000-0005-0000-0000-000086070000}"/>
    <cellStyle name="Accent5 6 3 2" xfId="1928" xr:uid="{00000000-0005-0000-0000-000087070000}"/>
    <cellStyle name="Accent5 6 4" xfId="1929" xr:uid="{00000000-0005-0000-0000-000088070000}"/>
    <cellStyle name="Accent5 6 4 2" xfId="1930" xr:uid="{00000000-0005-0000-0000-000089070000}"/>
    <cellStyle name="Accent5 6 5" xfId="1931" xr:uid="{00000000-0005-0000-0000-00008A070000}"/>
    <cellStyle name="Accent5 6 5 2" xfId="1932" xr:uid="{00000000-0005-0000-0000-00008B070000}"/>
    <cellStyle name="Accent5 6 6" xfId="1933" xr:uid="{00000000-0005-0000-0000-00008C070000}"/>
    <cellStyle name="Accent5 7" xfId="1934" xr:uid="{00000000-0005-0000-0000-00008D070000}"/>
    <cellStyle name="Accent5 7 2" xfId="1935" xr:uid="{00000000-0005-0000-0000-00008E070000}"/>
    <cellStyle name="Accent5 7 2 2" xfId="1936" xr:uid="{00000000-0005-0000-0000-00008F070000}"/>
    <cellStyle name="Accent5 7 3" xfId="1937" xr:uid="{00000000-0005-0000-0000-000090070000}"/>
    <cellStyle name="Accent5 7 3 2" xfId="1938" xr:uid="{00000000-0005-0000-0000-000091070000}"/>
    <cellStyle name="Accent5 7 4" xfId="1939" xr:uid="{00000000-0005-0000-0000-000092070000}"/>
    <cellStyle name="Accent5 7 4 2" xfId="1940" xr:uid="{00000000-0005-0000-0000-000093070000}"/>
    <cellStyle name="Accent5 7 5" xfId="1941" xr:uid="{00000000-0005-0000-0000-000094070000}"/>
    <cellStyle name="Accent5 7 5 2" xfId="1942" xr:uid="{00000000-0005-0000-0000-000095070000}"/>
    <cellStyle name="Accent5 7 6" xfId="1943" xr:uid="{00000000-0005-0000-0000-000096070000}"/>
    <cellStyle name="Accent5 8" xfId="1944" xr:uid="{00000000-0005-0000-0000-000097070000}"/>
    <cellStyle name="Accent5 8 2" xfId="1945" xr:uid="{00000000-0005-0000-0000-000098070000}"/>
    <cellStyle name="Accent5 8 2 2" xfId="1946" xr:uid="{00000000-0005-0000-0000-000099070000}"/>
    <cellStyle name="Accent5 8 3" xfId="1947" xr:uid="{00000000-0005-0000-0000-00009A070000}"/>
    <cellStyle name="Accent5 8 3 2" xfId="1948" xr:uid="{00000000-0005-0000-0000-00009B070000}"/>
    <cellStyle name="Accent5 8 4" xfId="1949" xr:uid="{00000000-0005-0000-0000-00009C070000}"/>
    <cellStyle name="Accent5 8 4 2" xfId="1950" xr:uid="{00000000-0005-0000-0000-00009D070000}"/>
    <cellStyle name="Accent5 8 5" xfId="1951" xr:uid="{00000000-0005-0000-0000-00009E070000}"/>
    <cellStyle name="Accent5 8 5 2" xfId="1952" xr:uid="{00000000-0005-0000-0000-00009F070000}"/>
    <cellStyle name="Accent5 8 6" xfId="1953" xr:uid="{00000000-0005-0000-0000-0000A0070000}"/>
    <cellStyle name="Accent5 9" xfId="1954" xr:uid="{00000000-0005-0000-0000-0000A1070000}"/>
    <cellStyle name="Accent5 9 2" xfId="1955" xr:uid="{00000000-0005-0000-0000-0000A2070000}"/>
    <cellStyle name="Accent6 10" xfId="1956" xr:uid="{00000000-0005-0000-0000-0000A3070000}"/>
    <cellStyle name="Accent6 11" xfId="1957" xr:uid="{00000000-0005-0000-0000-0000A4070000}"/>
    <cellStyle name="Accent6 12" xfId="1958" xr:uid="{00000000-0005-0000-0000-0000A5070000}"/>
    <cellStyle name="Accent6 13" xfId="1959" xr:uid="{00000000-0005-0000-0000-0000A6070000}"/>
    <cellStyle name="Accent6 14" xfId="1960" xr:uid="{00000000-0005-0000-0000-0000A7070000}"/>
    <cellStyle name="Accent6 15" xfId="1961" xr:uid="{00000000-0005-0000-0000-0000A8070000}"/>
    <cellStyle name="Accent6 16" xfId="1962" xr:uid="{00000000-0005-0000-0000-0000A9070000}"/>
    <cellStyle name="Accent6 17" xfId="1963" xr:uid="{00000000-0005-0000-0000-0000AA070000}"/>
    <cellStyle name="Accent6 18" xfId="1964" xr:uid="{00000000-0005-0000-0000-0000AB070000}"/>
    <cellStyle name="Accent6 19" xfId="1965" xr:uid="{00000000-0005-0000-0000-0000AC070000}"/>
    <cellStyle name="Accent6 2" xfId="1966" xr:uid="{00000000-0005-0000-0000-0000AD070000}"/>
    <cellStyle name="Accent6 2 2" xfId="1967" xr:uid="{00000000-0005-0000-0000-0000AE070000}"/>
    <cellStyle name="Accent6 2 2 2" xfId="1968" xr:uid="{00000000-0005-0000-0000-0000AF070000}"/>
    <cellStyle name="Accent6 2 3" xfId="1969" xr:uid="{00000000-0005-0000-0000-0000B0070000}"/>
    <cellStyle name="Accent6 2 3 2" xfId="1970" xr:uid="{00000000-0005-0000-0000-0000B1070000}"/>
    <cellStyle name="Accent6 2 4" xfId="1971" xr:uid="{00000000-0005-0000-0000-0000B2070000}"/>
    <cellStyle name="Accent6 2 4 2" xfId="1972" xr:uid="{00000000-0005-0000-0000-0000B3070000}"/>
    <cellStyle name="Accent6 2 5" xfId="1973" xr:uid="{00000000-0005-0000-0000-0000B4070000}"/>
    <cellStyle name="Accent6 2 5 2" xfId="1974" xr:uid="{00000000-0005-0000-0000-0000B5070000}"/>
    <cellStyle name="Accent6 2 6" xfId="1975" xr:uid="{00000000-0005-0000-0000-0000B6070000}"/>
    <cellStyle name="Accent6 20" xfId="1976" xr:uid="{00000000-0005-0000-0000-0000B7070000}"/>
    <cellStyle name="Accent6 21" xfId="1977" xr:uid="{00000000-0005-0000-0000-0000B8070000}"/>
    <cellStyle name="Accent6 22" xfId="1978" xr:uid="{00000000-0005-0000-0000-0000B9070000}"/>
    <cellStyle name="Accent6 3" xfId="1979" xr:uid="{00000000-0005-0000-0000-0000BA070000}"/>
    <cellStyle name="Accent6 3 2" xfId="1980" xr:uid="{00000000-0005-0000-0000-0000BB070000}"/>
    <cellStyle name="Accent6 3 2 2" xfId="1981" xr:uid="{00000000-0005-0000-0000-0000BC070000}"/>
    <cellStyle name="Accent6 3 3" xfId="1982" xr:uid="{00000000-0005-0000-0000-0000BD070000}"/>
    <cellStyle name="Accent6 3 3 2" xfId="1983" xr:uid="{00000000-0005-0000-0000-0000BE070000}"/>
    <cellStyle name="Accent6 3 4" xfId="1984" xr:uid="{00000000-0005-0000-0000-0000BF070000}"/>
    <cellStyle name="Accent6 3 4 2" xfId="1985" xr:uid="{00000000-0005-0000-0000-0000C0070000}"/>
    <cellStyle name="Accent6 3 5" xfId="1986" xr:uid="{00000000-0005-0000-0000-0000C1070000}"/>
    <cellStyle name="Accent6 3 5 2" xfId="1987" xr:uid="{00000000-0005-0000-0000-0000C2070000}"/>
    <cellStyle name="Accent6 3 6" xfId="1988" xr:uid="{00000000-0005-0000-0000-0000C3070000}"/>
    <cellStyle name="Accent6 4" xfId="1989" xr:uid="{00000000-0005-0000-0000-0000C4070000}"/>
    <cellStyle name="Accent6 4 2" xfId="1990" xr:uid="{00000000-0005-0000-0000-0000C5070000}"/>
    <cellStyle name="Accent6 4 2 2" xfId="1991" xr:uid="{00000000-0005-0000-0000-0000C6070000}"/>
    <cellStyle name="Accent6 4 3" xfId="1992" xr:uid="{00000000-0005-0000-0000-0000C7070000}"/>
    <cellStyle name="Accent6 4 3 2" xfId="1993" xr:uid="{00000000-0005-0000-0000-0000C8070000}"/>
    <cellStyle name="Accent6 4 4" xfId="1994" xr:uid="{00000000-0005-0000-0000-0000C9070000}"/>
    <cellStyle name="Accent6 4 4 2" xfId="1995" xr:uid="{00000000-0005-0000-0000-0000CA070000}"/>
    <cellStyle name="Accent6 4 5" xfId="1996" xr:uid="{00000000-0005-0000-0000-0000CB070000}"/>
    <cellStyle name="Accent6 4 5 2" xfId="1997" xr:uid="{00000000-0005-0000-0000-0000CC070000}"/>
    <cellStyle name="Accent6 4 6" xfId="1998" xr:uid="{00000000-0005-0000-0000-0000CD070000}"/>
    <cellStyle name="Accent6 5" xfId="1999" xr:uid="{00000000-0005-0000-0000-0000CE070000}"/>
    <cellStyle name="Accent6 5 2" xfId="2000" xr:uid="{00000000-0005-0000-0000-0000CF070000}"/>
    <cellStyle name="Accent6 5 2 2" xfId="2001" xr:uid="{00000000-0005-0000-0000-0000D0070000}"/>
    <cellStyle name="Accent6 5 3" xfId="2002" xr:uid="{00000000-0005-0000-0000-0000D1070000}"/>
    <cellStyle name="Accent6 5 3 2" xfId="2003" xr:uid="{00000000-0005-0000-0000-0000D2070000}"/>
    <cellStyle name="Accent6 5 4" xfId="2004" xr:uid="{00000000-0005-0000-0000-0000D3070000}"/>
    <cellStyle name="Accent6 5 4 2" xfId="2005" xr:uid="{00000000-0005-0000-0000-0000D4070000}"/>
    <cellStyle name="Accent6 5 5" xfId="2006" xr:uid="{00000000-0005-0000-0000-0000D5070000}"/>
    <cellStyle name="Accent6 5 5 2" xfId="2007" xr:uid="{00000000-0005-0000-0000-0000D6070000}"/>
    <cellStyle name="Accent6 5 6" xfId="2008" xr:uid="{00000000-0005-0000-0000-0000D7070000}"/>
    <cellStyle name="Accent6 6" xfId="2009" xr:uid="{00000000-0005-0000-0000-0000D8070000}"/>
    <cellStyle name="Accent6 6 2" xfId="2010" xr:uid="{00000000-0005-0000-0000-0000D9070000}"/>
    <cellStyle name="Accent6 6 2 2" xfId="2011" xr:uid="{00000000-0005-0000-0000-0000DA070000}"/>
    <cellStyle name="Accent6 6 3" xfId="2012" xr:uid="{00000000-0005-0000-0000-0000DB070000}"/>
    <cellStyle name="Accent6 6 3 2" xfId="2013" xr:uid="{00000000-0005-0000-0000-0000DC070000}"/>
    <cellStyle name="Accent6 6 4" xfId="2014" xr:uid="{00000000-0005-0000-0000-0000DD070000}"/>
    <cellStyle name="Accent6 6 4 2" xfId="2015" xr:uid="{00000000-0005-0000-0000-0000DE070000}"/>
    <cellStyle name="Accent6 6 5" xfId="2016" xr:uid="{00000000-0005-0000-0000-0000DF070000}"/>
    <cellStyle name="Accent6 6 5 2" xfId="2017" xr:uid="{00000000-0005-0000-0000-0000E0070000}"/>
    <cellStyle name="Accent6 6 6" xfId="2018" xr:uid="{00000000-0005-0000-0000-0000E1070000}"/>
    <cellStyle name="Accent6 7" xfId="2019" xr:uid="{00000000-0005-0000-0000-0000E2070000}"/>
    <cellStyle name="Accent6 7 2" xfId="2020" xr:uid="{00000000-0005-0000-0000-0000E3070000}"/>
    <cellStyle name="Accent6 7 2 2" xfId="2021" xr:uid="{00000000-0005-0000-0000-0000E4070000}"/>
    <cellStyle name="Accent6 7 3" xfId="2022" xr:uid="{00000000-0005-0000-0000-0000E5070000}"/>
    <cellStyle name="Accent6 7 3 2" xfId="2023" xr:uid="{00000000-0005-0000-0000-0000E6070000}"/>
    <cellStyle name="Accent6 7 4" xfId="2024" xr:uid="{00000000-0005-0000-0000-0000E7070000}"/>
    <cellStyle name="Accent6 7 4 2" xfId="2025" xr:uid="{00000000-0005-0000-0000-0000E8070000}"/>
    <cellStyle name="Accent6 7 5" xfId="2026" xr:uid="{00000000-0005-0000-0000-0000E9070000}"/>
    <cellStyle name="Accent6 7 5 2" xfId="2027" xr:uid="{00000000-0005-0000-0000-0000EA070000}"/>
    <cellStyle name="Accent6 7 6" xfId="2028" xr:uid="{00000000-0005-0000-0000-0000EB070000}"/>
    <cellStyle name="Accent6 8" xfId="2029" xr:uid="{00000000-0005-0000-0000-0000EC070000}"/>
    <cellStyle name="Accent6 8 2" xfId="2030" xr:uid="{00000000-0005-0000-0000-0000ED070000}"/>
    <cellStyle name="Accent6 8 2 2" xfId="2031" xr:uid="{00000000-0005-0000-0000-0000EE070000}"/>
    <cellStyle name="Accent6 8 3" xfId="2032" xr:uid="{00000000-0005-0000-0000-0000EF070000}"/>
    <cellStyle name="Accent6 8 3 2" xfId="2033" xr:uid="{00000000-0005-0000-0000-0000F0070000}"/>
    <cellStyle name="Accent6 8 4" xfId="2034" xr:uid="{00000000-0005-0000-0000-0000F1070000}"/>
    <cellStyle name="Accent6 8 4 2" xfId="2035" xr:uid="{00000000-0005-0000-0000-0000F2070000}"/>
    <cellStyle name="Accent6 8 5" xfId="2036" xr:uid="{00000000-0005-0000-0000-0000F3070000}"/>
    <cellStyle name="Accent6 8 5 2" xfId="2037" xr:uid="{00000000-0005-0000-0000-0000F4070000}"/>
    <cellStyle name="Accent6 8 6" xfId="2038" xr:uid="{00000000-0005-0000-0000-0000F5070000}"/>
    <cellStyle name="Accent6 9" xfId="2039" xr:uid="{00000000-0005-0000-0000-0000F6070000}"/>
    <cellStyle name="Accent6 9 2" xfId="2040" xr:uid="{00000000-0005-0000-0000-0000F7070000}"/>
    <cellStyle name="Bad 10" xfId="2041" xr:uid="{00000000-0005-0000-0000-0000F8070000}"/>
    <cellStyle name="Bad 11" xfId="2042" xr:uid="{00000000-0005-0000-0000-0000F9070000}"/>
    <cellStyle name="Bad 12" xfId="2043" xr:uid="{00000000-0005-0000-0000-0000FA070000}"/>
    <cellStyle name="Bad 13" xfId="2044" xr:uid="{00000000-0005-0000-0000-0000FB070000}"/>
    <cellStyle name="Bad 14" xfId="2045" xr:uid="{00000000-0005-0000-0000-0000FC070000}"/>
    <cellStyle name="Bad 15" xfId="2046" xr:uid="{00000000-0005-0000-0000-0000FD070000}"/>
    <cellStyle name="Bad 16" xfId="2047" xr:uid="{00000000-0005-0000-0000-0000FE070000}"/>
    <cellStyle name="Bad 17" xfId="2048" xr:uid="{00000000-0005-0000-0000-0000FF070000}"/>
    <cellStyle name="Bad 18" xfId="2049" xr:uid="{00000000-0005-0000-0000-000000080000}"/>
    <cellStyle name="Bad 19" xfId="2050" xr:uid="{00000000-0005-0000-0000-000001080000}"/>
    <cellStyle name="Bad 2" xfId="2051" xr:uid="{00000000-0005-0000-0000-000002080000}"/>
    <cellStyle name="Bad 2 2" xfId="2052" xr:uid="{00000000-0005-0000-0000-000003080000}"/>
    <cellStyle name="Bad 2 2 2" xfId="2053" xr:uid="{00000000-0005-0000-0000-000004080000}"/>
    <cellStyle name="Bad 2 3" xfId="2054" xr:uid="{00000000-0005-0000-0000-000005080000}"/>
    <cellStyle name="Bad 2 3 2" xfId="2055" xr:uid="{00000000-0005-0000-0000-000006080000}"/>
    <cellStyle name="Bad 2 4" xfId="2056" xr:uid="{00000000-0005-0000-0000-000007080000}"/>
    <cellStyle name="Bad 2 4 2" xfId="2057" xr:uid="{00000000-0005-0000-0000-000008080000}"/>
    <cellStyle name="Bad 2 5" xfId="2058" xr:uid="{00000000-0005-0000-0000-000009080000}"/>
    <cellStyle name="Bad 2 5 2" xfId="2059" xr:uid="{00000000-0005-0000-0000-00000A080000}"/>
    <cellStyle name="Bad 2 6" xfId="2060" xr:uid="{00000000-0005-0000-0000-00000B080000}"/>
    <cellStyle name="Bad 20" xfId="2061" xr:uid="{00000000-0005-0000-0000-00000C080000}"/>
    <cellStyle name="Bad 21" xfId="2062" xr:uid="{00000000-0005-0000-0000-00000D080000}"/>
    <cellStyle name="Bad 22" xfId="2063" xr:uid="{00000000-0005-0000-0000-00000E080000}"/>
    <cellStyle name="Bad 3" xfId="2064" xr:uid="{00000000-0005-0000-0000-00000F080000}"/>
    <cellStyle name="Bad 3 2" xfId="2065" xr:uid="{00000000-0005-0000-0000-000010080000}"/>
    <cellStyle name="Bad 3 2 2" xfId="2066" xr:uid="{00000000-0005-0000-0000-000011080000}"/>
    <cellStyle name="Bad 3 3" xfId="2067" xr:uid="{00000000-0005-0000-0000-000012080000}"/>
    <cellStyle name="Bad 3 3 2" xfId="2068" xr:uid="{00000000-0005-0000-0000-000013080000}"/>
    <cellStyle name="Bad 3 4" xfId="2069" xr:uid="{00000000-0005-0000-0000-000014080000}"/>
    <cellStyle name="Bad 3 4 2" xfId="2070" xr:uid="{00000000-0005-0000-0000-000015080000}"/>
    <cellStyle name="Bad 3 5" xfId="2071" xr:uid="{00000000-0005-0000-0000-000016080000}"/>
    <cellStyle name="Bad 3 5 2" xfId="2072" xr:uid="{00000000-0005-0000-0000-000017080000}"/>
    <cellStyle name="Bad 3 6" xfId="2073" xr:uid="{00000000-0005-0000-0000-000018080000}"/>
    <cellStyle name="Bad 4" xfId="2074" xr:uid="{00000000-0005-0000-0000-000019080000}"/>
    <cellStyle name="Bad 4 2" xfId="2075" xr:uid="{00000000-0005-0000-0000-00001A080000}"/>
    <cellStyle name="Bad 4 2 2" xfId="2076" xr:uid="{00000000-0005-0000-0000-00001B080000}"/>
    <cellStyle name="Bad 4 3" xfId="2077" xr:uid="{00000000-0005-0000-0000-00001C080000}"/>
    <cellStyle name="Bad 4 3 2" xfId="2078" xr:uid="{00000000-0005-0000-0000-00001D080000}"/>
    <cellStyle name="Bad 4 4" xfId="2079" xr:uid="{00000000-0005-0000-0000-00001E080000}"/>
    <cellStyle name="Bad 4 4 2" xfId="2080" xr:uid="{00000000-0005-0000-0000-00001F080000}"/>
    <cellStyle name="Bad 4 5" xfId="2081" xr:uid="{00000000-0005-0000-0000-000020080000}"/>
    <cellStyle name="Bad 4 5 2" xfId="2082" xr:uid="{00000000-0005-0000-0000-000021080000}"/>
    <cellStyle name="Bad 4 6" xfId="2083" xr:uid="{00000000-0005-0000-0000-000022080000}"/>
    <cellStyle name="Bad 5" xfId="2084" xr:uid="{00000000-0005-0000-0000-000023080000}"/>
    <cellStyle name="Bad 5 2" xfId="2085" xr:uid="{00000000-0005-0000-0000-000024080000}"/>
    <cellStyle name="Bad 5 2 2" xfId="2086" xr:uid="{00000000-0005-0000-0000-000025080000}"/>
    <cellStyle name="Bad 5 3" xfId="2087" xr:uid="{00000000-0005-0000-0000-000026080000}"/>
    <cellStyle name="Bad 5 3 2" xfId="2088" xr:uid="{00000000-0005-0000-0000-000027080000}"/>
    <cellStyle name="Bad 5 4" xfId="2089" xr:uid="{00000000-0005-0000-0000-000028080000}"/>
    <cellStyle name="Bad 5 4 2" xfId="2090" xr:uid="{00000000-0005-0000-0000-000029080000}"/>
    <cellStyle name="Bad 5 5" xfId="2091" xr:uid="{00000000-0005-0000-0000-00002A080000}"/>
    <cellStyle name="Bad 5 5 2" xfId="2092" xr:uid="{00000000-0005-0000-0000-00002B080000}"/>
    <cellStyle name="Bad 5 6" xfId="2093" xr:uid="{00000000-0005-0000-0000-00002C080000}"/>
    <cellStyle name="Bad 6" xfId="2094" xr:uid="{00000000-0005-0000-0000-00002D080000}"/>
    <cellStyle name="Bad 6 2" xfId="2095" xr:uid="{00000000-0005-0000-0000-00002E080000}"/>
    <cellStyle name="Bad 6 2 2" xfId="2096" xr:uid="{00000000-0005-0000-0000-00002F080000}"/>
    <cellStyle name="Bad 6 3" xfId="2097" xr:uid="{00000000-0005-0000-0000-000030080000}"/>
    <cellStyle name="Bad 6 3 2" xfId="2098" xr:uid="{00000000-0005-0000-0000-000031080000}"/>
    <cellStyle name="Bad 6 4" xfId="2099" xr:uid="{00000000-0005-0000-0000-000032080000}"/>
    <cellStyle name="Bad 6 4 2" xfId="2100" xr:uid="{00000000-0005-0000-0000-000033080000}"/>
    <cellStyle name="Bad 6 5" xfId="2101" xr:uid="{00000000-0005-0000-0000-000034080000}"/>
    <cellStyle name="Bad 6 5 2" xfId="2102" xr:uid="{00000000-0005-0000-0000-000035080000}"/>
    <cellStyle name="Bad 6 6" xfId="2103" xr:uid="{00000000-0005-0000-0000-000036080000}"/>
    <cellStyle name="Bad 7" xfId="2104" xr:uid="{00000000-0005-0000-0000-000037080000}"/>
    <cellStyle name="Bad 7 2" xfId="2105" xr:uid="{00000000-0005-0000-0000-000038080000}"/>
    <cellStyle name="Bad 7 2 2" xfId="2106" xr:uid="{00000000-0005-0000-0000-000039080000}"/>
    <cellStyle name="Bad 7 3" xfId="2107" xr:uid="{00000000-0005-0000-0000-00003A080000}"/>
    <cellStyle name="Bad 7 3 2" xfId="2108" xr:uid="{00000000-0005-0000-0000-00003B080000}"/>
    <cellStyle name="Bad 7 4" xfId="2109" xr:uid="{00000000-0005-0000-0000-00003C080000}"/>
    <cellStyle name="Bad 7 4 2" xfId="2110" xr:uid="{00000000-0005-0000-0000-00003D080000}"/>
    <cellStyle name="Bad 7 5" xfId="2111" xr:uid="{00000000-0005-0000-0000-00003E080000}"/>
    <cellStyle name="Bad 7 5 2" xfId="2112" xr:uid="{00000000-0005-0000-0000-00003F080000}"/>
    <cellStyle name="Bad 7 6" xfId="2113" xr:uid="{00000000-0005-0000-0000-000040080000}"/>
    <cellStyle name="Bad 8" xfId="2114" xr:uid="{00000000-0005-0000-0000-000041080000}"/>
    <cellStyle name="Bad 8 2" xfId="2115" xr:uid="{00000000-0005-0000-0000-000042080000}"/>
    <cellStyle name="Bad 8 2 2" xfId="2116" xr:uid="{00000000-0005-0000-0000-000043080000}"/>
    <cellStyle name="Bad 8 3" xfId="2117" xr:uid="{00000000-0005-0000-0000-000044080000}"/>
    <cellStyle name="Bad 8 3 2" xfId="2118" xr:uid="{00000000-0005-0000-0000-000045080000}"/>
    <cellStyle name="Bad 8 4" xfId="2119" xr:uid="{00000000-0005-0000-0000-000046080000}"/>
    <cellStyle name="Bad 8 4 2" xfId="2120" xr:uid="{00000000-0005-0000-0000-000047080000}"/>
    <cellStyle name="Bad 8 5" xfId="2121" xr:uid="{00000000-0005-0000-0000-000048080000}"/>
    <cellStyle name="Bad 8 5 2" xfId="2122" xr:uid="{00000000-0005-0000-0000-000049080000}"/>
    <cellStyle name="Bad 8 6" xfId="2123" xr:uid="{00000000-0005-0000-0000-00004A080000}"/>
    <cellStyle name="Bad 9" xfId="2124" xr:uid="{00000000-0005-0000-0000-00004B080000}"/>
    <cellStyle name="Bad 9 2" xfId="2125" xr:uid="{00000000-0005-0000-0000-00004C080000}"/>
    <cellStyle name="Calculation 10" xfId="2126" xr:uid="{00000000-0005-0000-0000-00004D080000}"/>
    <cellStyle name="Calculation 11" xfId="2127" xr:uid="{00000000-0005-0000-0000-00004E080000}"/>
    <cellStyle name="Calculation 12" xfId="2128" xr:uid="{00000000-0005-0000-0000-00004F080000}"/>
    <cellStyle name="Calculation 13" xfId="2129" xr:uid="{00000000-0005-0000-0000-000050080000}"/>
    <cellStyle name="Calculation 14" xfId="2130" xr:uid="{00000000-0005-0000-0000-000051080000}"/>
    <cellStyle name="Calculation 15" xfId="2131" xr:uid="{00000000-0005-0000-0000-000052080000}"/>
    <cellStyle name="Calculation 16" xfId="2132" xr:uid="{00000000-0005-0000-0000-000053080000}"/>
    <cellStyle name="Calculation 17" xfId="2133" xr:uid="{00000000-0005-0000-0000-000054080000}"/>
    <cellStyle name="Calculation 18" xfId="2134" xr:uid="{00000000-0005-0000-0000-000055080000}"/>
    <cellStyle name="Calculation 19" xfId="2135" xr:uid="{00000000-0005-0000-0000-000056080000}"/>
    <cellStyle name="Calculation 2" xfId="2136" xr:uid="{00000000-0005-0000-0000-000057080000}"/>
    <cellStyle name="Calculation 20" xfId="2137" xr:uid="{00000000-0005-0000-0000-000058080000}"/>
    <cellStyle name="Calculation 21" xfId="2138" xr:uid="{00000000-0005-0000-0000-000059080000}"/>
    <cellStyle name="Calculation 22" xfId="2139" xr:uid="{00000000-0005-0000-0000-00005A080000}"/>
    <cellStyle name="Calculation 3" xfId="2140" xr:uid="{00000000-0005-0000-0000-00005B080000}"/>
    <cellStyle name="Calculation 4" xfId="2141" xr:uid="{00000000-0005-0000-0000-00005C080000}"/>
    <cellStyle name="Calculation 5" xfId="2142" xr:uid="{00000000-0005-0000-0000-00005D080000}"/>
    <cellStyle name="Calculation 6" xfId="2143" xr:uid="{00000000-0005-0000-0000-00005E080000}"/>
    <cellStyle name="Calculation 7" xfId="2144" xr:uid="{00000000-0005-0000-0000-00005F080000}"/>
    <cellStyle name="Calculation 8" xfId="2145" xr:uid="{00000000-0005-0000-0000-000060080000}"/>
    <cellStyle name="Calculation 9" xfId="2146" xr:uid="{00000000-0005-0000-0000-000061080000}"/>
    <cellStyle name="Check Cell 10" xfId="2147" xr:uid="{00000000-0005-0000-0000-000062080000}"/>
    <cellStyle name="Check Cell 11" xfId="2148" xr:uid="{00000000-0005-0000-0000-000063080000}"/>
    <cellStyle name="Check Cell 12" xfId="2149" xr:uid="{00000000-0005-0000-0000-000064080000}"/>
    <cellStyle name="Check Cell 13" xfId="2150" xr:uid="{00000000-0005-0000-0000-000065080000}"/>
    <cellStyle name="Check Cell 14" xfId="2151" xr:uid="{00000000-0005-0000-0000-000066080000}"/>
    <cellStyle name="Check Cell 15" xfId="2152" xr:uid="{00000000-0005-0000-0000-000067080000}"/>
    <cellStyle name="Check Cell 16" xfId="2153" xr:uid="{00000000-0005-0000-0000-000068080000}"/>
    <cellStyle name="Check Cell 17" xfId="2154" xr:uid="{00000000-0005-0000-0000-000069080000}"/>
    <cellStyle name="Check Cell 18" xfId="2155" xr:uid="{00000000-0005-0000-0000-00006A080000}"/>
    <cellStyle name="Check Cell 19" xfId="2156" xr:uid="{00000000-0005-0000-0000-00006B080000}"/>
    <cellStyle name="Check Cell 2" xfId="2157" xr:uid="{00000000-0005-0000-0000-00006C080000}"/>
    <cellStyle name="Check Cell 2 2" xfId="2158" xr:uid="{00000000-0005-0000-0000-00006D080000}"/>
    <cellStyle name="Check Cell 2 2 2" xfId="2159" xr:uid="{00000000-0005-0000-0000-00006E080000}"/>
    <cellStyle name="Check Cell 2 3" xfId="2160" xr:uid="{00000000-0005-0000-0000-00006F080000}"/>
    <cellStyle name="Check Cell 2 3 2" xfId="2161" xr:uid="{00000000-0005-0000-0000-000070080000}"/>
    <cellStyle name="Check Cell 2 4" xfId="2162" xr:uid="{00000000-0005-0000-0000-000071080000}"/>
    <cellStyle name="Check Cell 2 4 2" xfId="2163" xr:uid="{00000000-0005-0000-0000-000072080000}"/>
    <cellStyle name="Check Cell 2 5" xfId="2164" xr:uid="{00000000-0005-0000-0000-000073080000}"/>
    <cellStyle name="Check Cell 2 5 2" xfId="2165" xr:uid="{00000000-0005-0000-0000-000074080000}"/>
    <cellStyle name="Check Cell 2 6" xfId="2166" xr:uid="{00000000-0005-0000-0000-000075080000}"/>
    <cellStyle name="Check Cell 20" xfId="2167" xr:uid="{00000000-0005-0000-0000-000076080000}"/>
    <cellStyle name="Check Cell 21" xfId="2168" xr:uid="{00000000-0005-0000-0000-000077080000}"/>
    <cellStyle name="Check Cell 22" xfId="2169" xr:uid="{00000000-0005-0000-0000-000078080000}"/>
    <cellStyle name="Check Cell 3" xfId="2170" xr:uid="{00000000-0005-0000-0000-000079080000}"/>
    <cellStyle name="Check Cell 3 2" xfId="2171" xr:uid="{00000000-0005-0000-0000-00007A080000}"/>
    <cellStyle name="Check Cell 3 2 2" xfId="2172" xr:uid="{00000000-0005-0000-0000-00007B080000}"/>
    <cellStyle name="Check Cell 3 3" xfId="2173" xr:uid="{00000000-0005-0000-0000-00007C080000}"/>
    <cellStyle name="Check Cell 3 3 2" xfId="2174" xr:uid="{00000000-0005-0000-0000-00007D080000}"/>
    <cellStyle name="Check Cell 3 4" xfId="2175" xr:uid="{00000000-0005-0000-0000-00007E080000}"/>
    <cellStyle name="Check Cell 3 4 2" xfId="2176" xr:uid="{00000000-0005-0000-0000-00007F080000}"/>
    <cellStyle name="Check Cell 3 5" xfId="2177" xr:uid="{00000000-0005-0000-0000-000080080000}"/>
    <cellStyle name="Check Cell 3 5 2" xfId="2178" xr:uid="{00000000-0005-0000-0000-000081080000}"/>
    <cellStyle name="Check Cell 3 6" xfId="2179" xr:uid="{00000000-0005-0000-0000-000082080000}"/>
    <cellStyle name="Check Cell 4" xfId="2180" xr:uid="{00000000-0005-0000-0000-000083080000}"/>
    <cellStyle name="Check Cell 4 2" xfId="2181" xr:uid="{00000000-0005-0000-0000-000084080000}"/>
    <cellStyle name="Check Cell 4 2 2" xfId="2182" xr:uid="{00000000-0005-0000-0000-000085080000}"/>
    <cellStyle name="Check Cell 4 3" xfId="2183" xr:uid="{00000000-0005-0000-0000-000086080000}"/>
    <cellStyle name="Check Cell 4 3 2" xfId="2184" xr:uid="{00000000-0005-0000-0000-000087080000}"/>
    <cellStyle name="Check Cell 4 4" xfId="2185" xr:uid="{00000000-0005-0000-0000-000088080000}"/>
    <cellStyle name="Check Cell 4 4 2" xfId="2186" xr:uid="{00000000-0005-0000-0000-000089080000}"/>
    <cellStyle name="Check Cell 4 5" xfId="2187" xr:uid="{00000000-0005-0000-0000-00008A080000}"/>
    <cellStyle name="Check Cell 4 5 2" xfId="2188" xr:uid="{00000000-0005-0000-0000-00008B080000}"/>
    <cellStyle name="Check Cell 4 6" xfId="2189" xr:uid="{00000000-0005-0000-0000-00008C080000}"/>
    <cellStyle name="Check Cell 5" xfId="2190" xr:uid="{00000000-0005-0000-0000-00008D080000}"/>
    <cellStyle name="Check Cell 5 2" xfId="2191" xr:uid="{00000000-0005-0000-0000-00008E080000}"/>
    <cellStyle name="Check Cell 5 2 2" xfId="2192" xr:uid="{00000000-0005-0000-0000-00008F080000}"/>
    <cellStyle name="Check Cell 5 3" xfId="2193" xr:uid="{00000000-0005-0000-0000-000090080000}"/>
    <cellStyle name="Check Cell 5 3 2" xfId="2194" xr:uid="{00000000-0005-0000-0000-000091080000}"/>
    <cellStyle name="Check Cell 5 4" xfId="2195" xr:uid="{00000000-0005-0000-0000-000092080000}"/>
    <cellStyle name="Check Cell 5 4 2" xfId="2196" xr:uid="{00000000-0005-0000-0000-000093080000}"/>
    <cellStyle name="Check Cell 5 5" xfId="2197" xr:uid="{00000000-0005-0000-0000-000094080000}"/>
    <cellStyle name="Check Cell 5 5 2" xfId="2198" xr:uid="{00000000-0005-0000-0000-000095080000}"/>
    <cellStyle name="Check Cell 5 6" xfId="2199" xr:uid="{00000000-0005-0000-0000-000096080000}"/>
    <cellStyle name="Check Cell 6" xfId="2200" xr:uid="{00000000-0005-0000-0000-000097080000}"/>
    <cellStyle name="Check Cell 6 2" xfId="2201" xr:uid="{00000000-0005-0000-0000-000098080000}"/>
    <cellStyle name="Check Cell 6 2 2" xfId="2202" xr:uid="{00000000-0005-0000-0000-000099080000}"/>
    <cellStyle name="Check Cell 6 3" xfId="2203" xr:uid="{00000000-0005-0000-0000-00009A080000}"/>
    <cellStyle name="Check Cell 6 3 2" xfId="2204" xr:uid="{00000000-0005-0000-0000-00009B080000}"/>
    <cellStyle name="Check Cell 6 4" xfId="2205" xr:uid="{00000000-0005-0000-0000-00009C080000}"/>
    <cellStyle name="Check Cell 6 4 2" xfId="2206" xr:uid="{00000000-0005-0000-0000-00009D080000}"/>
    <cellStyle name="Check Cell 6 5" xfId="2207" xr:uid="{00000000-0005-0000-0000-00009E080000}"/>
    <cellStyle name="Check Cell 6 5 2" xfId="2208" xr:uid="{00000000-0005-0000-0000-00009F080000}"/>
    <cellStyle name="Check Cell 6 6" xfId="2209" xr:uid="{00000000-0005-0000-0000-0000A0080000}"/>
    <cellStyle name="Check Cell 7" xfId="2210" xr:uid="{00000000-0005-0000-0000-0000A1080000}"/>
    <cellStyle name="Check Cell 7 2" xfId="2211" xr:uid="{00000000-0005-0000-0000-0000A2080000}"/>
    <cellStyle name="Check Cell 7 2 2" xfId="2212" xr:uid="{00000000-0005-0000-0000-0000A3080000}"/>
    <cellStyle name="Check Cell 7 3" xfId="2213" xr:uid="{00000000-0005-0000-0000-0000A4080000}"/>
    <cellStyle name="Check Cell 7 3 2" xfId="2214" xr:uid="{00000000-0005-0000-0000-0000A5080000}"/>
    <cellStyle name="Check Cell 7 4" xfId="2215" xr:uid="{00000000-0005-0000-0000-0000A6080000}"/>
    <cellStyle name="Check Cell 7 4 2" xfId="2216" xr:uid="{00000000-0005-0000-0000-0000A7080000}"/>
    <cellStyle name="Check Cell 7 5" xfId="2217" xr:uid="{00000000-0005-0000-0000-0000A8080000}"/>
    <cellStyle name="Check Cell 7 5 2" xfId="2218" xr:uid="{00000000-0005-0000-0000-0000A9080000}"/>
    <cellStyle name="Check Cell 7 6" xfId="2219" xr:uid="{00000000-0005-0000-0000-0000AA080000}"/>
    <cellStyle name="Check Cell 8" xfId="2220" xr:uid="{00000000-0005-0000-0000-0000AB080000}"/>
    <cellStyle name="Check Cell 8 2" xfId="2221" xr:uid="{00000000-0005-0000-0000-0000AC080000}"/>
    <cellStyle name="Check Cell 8 2 2" xfId="2222" xr:uid="{00000000-0005-0000-0000-0000AD080000}"/>
    <cellStyle name="Check Cell 8 3" xfId="2223" xr:uid="{00000000-0005-0000-0000-0000AE080000}"/>
    <cellStyle name="Check Cell 8 3 2" xfId="2224" xr:uid="{00000000-0005-0000-0000-0000AF080000}"/>
    <cellStyle name="Check Cell 8 4" xfId="2225" xr:uid="{00000000-0005-0000-0000-0000B0080000}"/>
    <cellStyle name="Check Cell 8 4 2" xfId="2226" xr:uid="{00000000-0005-0000-0000-0000B1080000}"/>
    <cellStyle name="Check Cell 8 5" xfId="2227" xr:uid="{00000000-0005-0000-0000-0000B2080000}"/>
    <cellStyle name="Check Cell 8 5 2" xfId="2228" xr:uid="{00000000-0005-0000-0000-0000B3080000}"/>
    <cellStyle name="Check Cell 8 6" xfId="2229" xr:uid="{00000000-0005-0000-0000-0000B4080000}"/>
    <cellStyle name="Check Cell 9" xfId="2230" xr:uid="{00000000-0005-0000-0000-0000B5080000}"/>
    <cellStyle name="Check Cell 9 2" xfId="2231" xr:uid="{00000000-0005-0000-0000-0000B6080000}"/>
    <cellStyle name="Comma" xfId="2232" builtinId="3"/>
    <cellStyle name="Currency" xfId="2233" builtinId="4"/>
    <cellStyle name="Explanatory Text 10" xfId="2234" xr:uid="{00000000-0005-0000-0000-0000B9080000}"/>
    <cellStyle name="Explanatory Text 11" xfId="2235" xr:uid="{00000000-0005-0000-0000-0000BA080000}"/>
    <cellStyle name="Explanatory Text 12" xfId="2236" xr:uid="{00000000-0005-0000-0000-0000BB080000}"/>
    <cellStyle name="Explanatory Text 13" xfId="2237" xr:uid="{00000000-0005-0000-0000-0000BC080000}"/>
    <cellStyle name="Explanatory Text 14" xfId="2238" xr:uid="{00000000-0005-0000-0000-0000BD080000}"/>
    <cellStyle name="Explanatory Text 15" xfId="2239" xr:uid="{00000000-0005-0000-0000-0000BE080000}"/>
    <cellStyle name="Explanatory Text 16" xfId="2240" xr:uid="{00000000-0005-0000-0000-0000BF080000}"/>
    <cellStyle name="Explanatory Text 17" xfId="2241" xr:uid="{00000000-0005-0000-0000-0000C0080000}"/>
    <cellStyle name="Explanatory Text 18" xfId="2242" xr:uid="{00000000-0005-0000-0000-0000C1080000}"/>
    <cellStyle name="Explanatory Text 19" xfId="2243" xr:uid="{00000000-0005-0000-0000-0000C2080000}"/>
    <cellStyle name="Explanatory Text 2" xfId="2244" xr:uid="{00000000-0005-0000-0000-0000C3080000}"/>
    <cellStyle name="Explanatory Text 2 2" xfId="2245" xr:uid="{00000000-0005-0000-0000-0000C4080000}"/>
    <cellStyle name="Explanatory Text 2 2 2" xfId="2246" xr:uid="{00000000-0005-0000-0000-0000C5080000}"/>
    <cellStyle name="Explanatory Text 2 3" xfId="2247" xr:uid="{00000000-0005-0000-0000-0000C6080000}"/>
    <cellStyle name="Explanatory Text 2 3 2" xfId="2248" xr:uid="{00000000-0005-0000-0000-0000C7080000}"/>
    <cellStyle name="Explanatory Text 2 4" xfId="2249" xr:uid="{00000000-0005-0000-0000-0000C8080000}"/>
    <cellStyle name="Explanatory Text 2 4 2" xfId="2250" xr:uid="{00000000-0005-0000-0000-0000C9080000}"/>
    <cellStyle name="Explanatory Text 2 5" xfId="2251" xr:uid="{00000000-0005-0000-0000-0000CA080000}"/>
    <cellStyle name="Explanatory Text 2 5 2" xfId="2252" xr:uid="{00000000-0005-0000-0000-0000CB080000}"/>
    <cellStyle name="Explanatory Text 2 6" xfId="2253" xr:uid="{00000000-0005-0000-0000-0000CC080000}"/>
    <cellStyle name="Explanatory Text 20" xfId="2254" xr:uid="{00000000-0005-0000-0000-0000CD080000}"/>
    <cellStyle name="Explanatory Text 21" xfId="2255" xr:uid="{00000000-0005-0000-0000-0000CE080000}"/>
    <cellStyle name="Explanatory Text 22" xfId="2256" xr:uid="{00000000-0005-0000-0000-0000CF080000}"/>
    <cellStyle name="Explanatory Text 3" xfId="2257" xr:uid="{00000000-0005-0000-0000-0000D0080000}"/>
    <cellStyle name="Explanatory Text 3 2" xfId="2258" xr:uid="{00000000-0005-0000-0000-0000D1080000}"/>
    <cellStyle name="Explanatory Text 3 2 2" xfId="2259" xr:uid="{00000000-0005-0000-0000-0000D2080000}"/>
    <cellStyle name="Explanatory Text 3 3" xfId="2260" xr:uid="{00000000-0005-0000-0000-0000D3080000}"/>
    <cellStyle name="Explanatory Text 3 3 2" xfId="2261" xr:uid="{00000000-0005-0000-0000-0000D4080000}"/>
    <cellStyle name="Explanatory Text 3 4" xfId="2262" xr:uid="{00000000-0005-0000-0000-0000D5080000}"/>
    <cellStyle name="Explanatory Text 3 4 2" xfId="2263" xr:uid="{00000000-0005-0000-0000-0000D6080000}"/>
    <cellStyle name="Explanatory Text 3 5" xfId="2264" xr:uid="{00000000-0005-0000-0000-0000D7080000}"/>
    <cellStyle name="Explanatory Text 3 5 2" xfId="2265" xr:uid="{00000000-0005-0000-0000-0000D8080000}"/>
    <cellStyle name="Explanatory Text 3 6" xfId="2266" xr:uid="{00000000-0005-0000-0000-0000D9080000}"/>
    <cellStyle name="Explanatory Text 4" xfId="2267" xr:uid="{00000000-0005-0000-0000-0000DA080000}"/>
    <cellStyle name="Explanatory Text 4 2" xfId="2268" xr:uid="{00000000-0005-0000-0000-0000DB080000}"/>
    <cellStyle name="Explanatory Text 4 2 2" xfId="2269" xr:uid="{00000000-0005-0000-0000-0000DC080000}"/>
    <cellStyle name="Explanatory Text 4 3" xfId="2270" xr:uid="{00000000-0005-0000-0000-0000DD080000}"/>
    <cellStyle name="Explanatory Text 4 3 2" xfId="2271" xr:uid="{00000000-0005-0000-0000-0000DE080000}"/>
    <cellStyle name="Explanatory Text 4 4" xfId="2272" xr:uid="{00000000-0005-0000-0000-0000DF080000}"/>
    <cellStyle name="Explanatory Text 4 4 2" xfId="2273" xr:uid="{00000000-0005-0000-0000-0000E0080000}"/>
    <cellStyle name="Explanatory Text 4 5" xfId="2274" xr:uid="{00000000-0005-0000-0000-0000E1080000}"/>
    <cellStyle name="Explanatory Text 4 5 2" xfId="2275" xr:uid="{00000000-0005-0000-0000-0000E2080000}"/>
    <cellStyle name="Explanatory Text 4 6" xfId="2276" xr:uid="{00000000-0005-0000-0000-0000E3080000}"/>
    <cellStyle name="Explanatory Text 5" xfId="2277" xr:uid="{00000000-0005-0000-0000-0000E4080000}"/>
    <cellStyle name="Explanatory Text 5 2" xfId="2278" xr:uid="{00000000-0005-0000-0000-0000E5080000}"/>
    <cellStyle name="Explanatory Text 5 2 2" xfId="2279" xr:uid="{00000000-0005-0000-0000-0000E6080000}"/>
    <cellStyle name="Explanatory Text 5 3" xfId="2280" xr:uid="{00000000-0005-0000-0000-0000E7080000}"/>
    <cellStyle name="Explanatory Text 5 3 2" xfId="2281" xr:uid="{00000000-0005-0000-0000-0000E8080000}"/>
    <cellStyle name="Explanatory Text 5 4" xfId="2282" xr:uid="{00000000-0005-0000-0000-0000E9080000}"/>
    <cellStyle name="Explanatory Text 5 4 2" xfId="2283" xr:uid="{00000000-0005-0000-0000-0000EA080000}"/>
    <cellStyle name="Explanatory Text 5 5" xfId="2284" xr:uid="{00000000-0005-0000-0000-0000EB080000}"/>
    <cellStyle name="Explanatory Text 5 5 2" xfId="2285" xr:uid="{00000000-0005-0000-0000-0000EC080000}"/>
    <cellStyle name="Explanatory Text 5 6" xfId="2286" xr:uid="{00000000-0005-0000-0000-0000ED080000}"/>
    <cellStyle name="Explanatory Text 6" xfId="2287" xr:uid="{00000000-0005-0000-0000-0000EE080000}"/>
    <cellStyle name="Explanatory Text 6 2" xfId="2288" xr:uid="{00000000-0005-0000-0000-0000EF080000}"/>
    <cellStyle name="Explanatory Text 6 2 2" xfId="2289" xr:uid="{00000000-0005-0000-0000-0000F0080000}"/>
    <cellStyle name="Explanatory Text 6 3" xfId="2290" xr:uid="{00000000-0005-0000-0000-0000F1080000}"/>
    <cellStyle name="Explanatory Text 6 3 2" xfId="2291" xr:uid="{00000000-0005-0000-0000-0000F2080000}"/>
    <cellStyle name="Explanatory Text 6 4" xfId="2292" xr:uid="{00000000-0005-0000-0000-0000F3080000}"/>
    <cellStyle name="Explanatory Text 6 4 2" xfId="2293" xr:uid="{00000000-0005-0000-0000-0000F4080000}"/>
    <cellStyle name="Explanatory Text 6 5" xfId="2294" xr:uid="{00000000-0005-0000-0000-0000F5080000}"/>
    <cellStyle name="Explanatory Text 6 5 2" xfId="2295" xr:uid="{00000000-0005-0000-0000-0000F6080000}"/>
    <cellStyle name="Explanatory Text 6 6" xfId="2296" xr:uid="{00000000-0005-0000-0000-0000F7080000}"/>
    <cellStyle name="Explanatory Text 7" xfId="2297" xr:uid="{00000000-0005-0000-0000-0000F8080000}"/>
    <cellStyle name="Explanatory Text 7 2" xfId="2298" xr:uid="{00000000-0005-0000-0000-0000F9080000}"/>
    <cellStyle name="Explanatory Text 7 2 2" xfId="2299" xr:uid="{00000000-0005-0000-0000-0000FA080000}"/>
    <cellStyle name="Explanatory Text 7 3" xfId="2300" xr:uid="{00000000-0005-0000-0000-0000FB080000}"/>
    <cellStyle name="Explanatory Text 7 3 2" xfId="2301" xr:uid="{00000000-0005-0000-0000-0000FC080000}"/>
    <cellStyle name="Explanatory Text 7 4" xfId="2302" xr:uid="{00000000-0005-0000-0000-0000FD080000}"/>
    <cellStyle name="Explanatory Text 7 4 2" xfId="2303" xr:uid="{00000000-0005-0000-0000-0000FE080000}"/>
    <cellStyle name="Explanatory Text 7 5" xfId="2304" xr:uid="{00000000-0005-0000-0000-0000FF080000}"/>
    <cellStyle name="Explanatory Text 7 5 2" xfId="2305" xr:uid="{00000000-0005-0000-0000-000000090000}"/>
    <cellStyle name="Explanatory Text 7 6" xfId="2306" xr:uid="{00000000-0005-0000-0000-000001090000}"/>
    <cellStyle name="Explanatory Text 8" xfId="2307" xr:uid="{00000000-0005-0000-0000-000002090000}"/>
    <cellStyle name="Explanatory Text 8 2" xfId="2308" xr:uid="{00000000-0005-0000-0000-000003090000}"/>
    <cellStyle name="Explanatory Text 8 2 2" xfId="2309" xr:uid="{00000000-0005-0000-0000-000004090000}"/>
    <cellStyle name="Explanatory Text 8 3" xfId="2310" xr:uid="{00000000-0005-0000-0000-000005090000}"/>
    <cellStyle name="Explanatory Text 8 3 2" xfId="2311" xr:uid="{00000000-0005-0000-0000-000006090000}"/>
    <cellStyle name="Explanatory Text 8 4" xfId="2312" xr:uid="{00000000-0005-0000-0000-000007090000}"/>
    <cellStyle name="Explanatory Text 8 4 2" xfId="2313" xr:uid="{00000000-0005-0000-0000-000008090000}"/>
    <cellStyle name="Explanatory Text 8 5" xfId="2314" xr:uid="{00000000-0005-0000-0000-000009090000}"/>
    <cellStyle name="Explanatory Text 8 5 2" xfId="2315" xr:uid="{00000000-0005-0000-0000-00000A090000}"/>
    <cellStyle name="Explanatory Text 8 6" xfId="2316" xr:uid="{00000000-0005-0000-0000-00000B090000}"/>
    <cellStyle name="Explanatory Text 9" xfId="2317" xr:uid="{00000000-0005-0000-0000-00000C090000}"/>
    <cellStyle name="Explanatory Text 9 2" xfId="2318" xr:uid="{00000000-0005-0000-0000-00000D090000}"/>
    <cellStyle name="Good 10" xfId="2319" xr:uid="{00000000-0005-0000-0000-00000E090000}"/>
    <cellStyle name="Good 11" xfId="2320" xr:uid="{00000000-0005-0000-0000-00000F090000}"/>
    <cellStyle name="Good 12" xfId="2321" xr:uid="{00000000-0005-0000-0000-000010090000}"/>
    <cellStyle name="Good 13" xfId="2322" xr:uid="{00000000-0005-0000-0000-000011090000}"/>
    <cellStyle name="Good 14" xfId="2323" xr:uid="{00000000-0005-0000-0000-000012090000}"/>
    <cellStyle name="Good 15" xfId="2324" xr:uid="{00000000-0005-0000-0000-000013090000}"/>
    <cellStyle name="Good 16" xfId="2325" xr:uid="{00000000-0005-0000-0000-000014090000}"/>
    <cellStyle name="Good 17" xfId="2326" xr:uid="{00000000-0005-0000-0000-000015090000}"/>
    <cellStyle name="Good 18" xfId="2327" xr:uid="{00000000-0005-0000-0000-000016090000}"/>
    <cellStyle name="Good 19" xfId="2328" xr:uid="{00000000-0005-0000-0000-000017090000}"/>
    <cellStyle name="Good 2" xfId="2329" xr:uid="{00000000-0005-0000-0000-000018090000}"/>
    <cellStyle name="Good 2 2" xfId="2330" xr:uid="{00000000-0005-0000-0000-000019090000}"/>
    <cellStyle name="Good 2 2 2" xfId="2331" xr:uid="{00000000-0005-0000-0000-00001A090000}"/>
    <cellStyle name="Good 2 3" xfId="2332" xr:uid="{00000000-0005-0000-0000-00001B090000}"/>
    <cellStyle name="Good 2 3 2" xfId="2333" xr:uid="{00000000-0005-0000-0000-00001C090000}"/>
    <cellStyle name="Good 2 4" xfId="2334" xr:uid="{00000000-0005-0000-0000-00001D090000}"/>
    <cellStyle name="Good 2 4 2" xfId="2335" xr:uid="{00000000-0005-0000-0000-00001E090000}"/>
    <cellStyle name="Good 2 5" xfId="2336" xr:uid="{00000000-0005-0000-0000-00001F090000}"/>
    <cellStyle name="Good 2 5 2" xfId="2337" xr:uid="{00000000-0005-0000-0000-000020090000}"/>
    <cellStyle name="Good 2 6" xfId="2338" xr:uid="{00000000-0005-0000-0000-000021090000}"/>
    <cellStyle name="Good 20" xfId="2339" xr:uid="{00000000-0005-0000-0000-000022090000}"/>
    <cellStyle name="Good 21" xfId="2340" xr:uid="{00000000-0005-0000-0000-000023090000}"/>
    <cellStyle name="Good 22" xfId="2341" xr:uid="{00000000-0005-0000-0000-000024090000}"/>
    <cellStyle name="Good 3" xfId="2342" xr:uid="{00000000-0005-0000-0000-000025090000}"/>
    <cellStyle name="Good 3 2" xfId="2343" xr:uid="{00000000-0005-0000-0000-000026090000}"/>
    <cellStyle name="Good 3 2 2" xfId="2344" xr:uid="{00000000-0005-0000-0000-000027090000}"/>
    <cellStyle name="Good 3 3" xfId="2345" xr:uid="{00000000-0005-0000-0000-000028090000}"/>
    <cellStyle name="Good 3 3 2" xfId="2346" xr:uid="{00000000-0005-0000-0000-000029090000}"/>
    <cellStyle name="Good 3 4" xfId="2347" xr:uid="{00000000-0005-0000-0000-00002A090000}"/>
    <cellStyle name="Good 3 4 2" xfId="2348" xr:uid="{00000000-0005-0000-0000-00002B090000}"/>
    <cellStyle name="Good 3 5" xfId="2349" xr:uid="{00000000-0005-0000-0000-00002C090000}"/>
    <cellStyle name="Good 3 5 2" xfId="2350" xr:uid="{00000000-0005-0000-0000-00002D090000}"/>
    <cellStyle name="Good 3 6" xfId="2351" xr:uid="{00000000-0005-0000-0000-00002E090000}"/>
    <cellStyle name="Good 4" xfId="2352" xr:uid="{00000000-0005-0000-0000-00002F090000}"/>
    <cellStyle name="Good 4 2" xfId="2353" xr:uid="{00000000-0005-0000-0000-000030090000}"/>
    <cellStyle name="Good 4 2 2" xfId="2354" xr:uid="{00000000-0005-0000-0000-000031090000}"/>
    <cellStyle name="Good 4 3" xfId="2355" xr:uid="{00000000-0005-0000-0000-000032090000}"/>
    <cellStyle name="Good 4 3 2" xfId="2356" xr:uid="{00000000-0005-0000-0000-000033090000}"/>
    <cellStyle name="Good 4 4" xfId="2357" xr:uid="{00000000-0005-0000-0000-000034090000}"/>
    <cellStyle name="Good 4 4 2" xfId="2358" xr:uid="{00000000-0005-0000-0000-000035090000}"/>
    <cellStyle name="Good 4 5" xfId="2359" xr:uid="{00000000-0005-0000-0000-000036090000}"/>
    <cellStyle name="Good 4 5 2" xfId="2360" xr:uid="{00000000-0005-0000-0000-000037090000}"/>
    <cellStyle name="Good 4 6" xfId="2361" xr:uid="{00000000-0005-0000-0000-000038090000}"/>
    <cellStyle name="Good 5" xfId="2362" xr:uid="{00000000-0005-0000-0000-000039090000}"/>
    <cellStyle name="Good 5 2" xfId="2363" xr:uid="{00000000-0005-0000-0000-00003A090000}"/>
    <cellStyle name="Good 5 2 2" xfId="2364" xr:uid="{00000000-0005-0000-0000-00003B090000}"/>
    <cellStyle name="Good 5 3" xfId="2365" xr:uid="{00000000-0005-0000-0000-00003C090000}"/>
    <cellStyle name="Good 5 3 2" xfId="2366" xr:uid="{00000000-0005-0000-0000-00003D090000}"/>
    <cellStyle name="Good 5 4" xfId="2367" xr:uid="{00000000-0005-0000-0000-00003E090000}"/>
    <cellStyle name="Good 5 4 2" xfId="2368" xr:uid="{00000000-0005-0000-0000-00003F090000}"/>
    <cellStyle name="Good 5 5" xfId="2369" xr:uid="{00000000-0005-0000-0000-000040090000}"/>
    <cellStyle name="Good 5 5 2" xfId="2370" xr:uid="{00000000-0005-0000-0000-000041090000}"/>
    <cellStyle name="Good 5 6" xfId="2371" xr:uid="{00000000-0005-0000-0000-000042090000}"/>
    <cellStyle name="Good 6" xfId="2372" xr:uid="{00000000-0005-0000-0000-000043090000}"/>
    <cellStyle name="Good 6 2" xfId="2373" xr:uid="{00000000-0005-0000-0000-000044090000}"/>
    <cellStyle name="Good 6 2 2" xfId="2374" xr:uid="{00000000-0005-0000-0000-000045090000}"/>
    <cellStyle name="Good 6 3" xfId="2375" xr:uid="{00000000-0005-0000-0000-000046090000}"/>
    <cellStyle name="Good 6 3 2" xfId="2376" xr:uid="{00000000-0005-0000-0000-000047090000}"/>
    <cellStyle name="Good 6 4" xfId="2377" xr:uid="{00000000-0005-0000-0000-000048090000}"/>
    <cellStyle name="Good 6 4 2" xfId="2378" xr:uid="{00000000-0005-0000-0000-000049090000}"/>
    <cellStyle name="Good 6 5" xfId="2379" xr:uid="{00000000-0005-0000-0000-00004A090000}"/>
    <cellStyle name="Good 6 5 2" xfId="2380" xr:uid="{00000000-0005-0000-0000-00004B090000}"/>
    <cellStyle name="Good 6 6" xfId="2381" xr:uid="{00000000-0005-0000-0000-00004C090000}"/>
    <cellStyle name="Good 7" xfId="2382" xr:uid="{00000000-0005-0000-0000-00004D090000}"/>
    <cellStyle name="Good 7 2" xfId="2383" xr:uid="{00000000-0005-0000-0000-00004E090000}"/>
    <cellStyle name="Good 7 2 2" xfId="2384" xr:uid="{00000000-0005-0000-0000-00004F090000}"/>
    <cellStyle name="Good 7 3" xfId="2385" xr:uid="{00000000-0005-0000-0000-000050090000}"/>
    <cellStyle name="Good 7 3 2" xfId="2386" xr:uid="{00000000-0005-0000-0000-000051090000}"/>
    <cellStyle name="Good 7 4" xfId="2387" xr:uid="{00000000-0005-0000-0000-000052090000}"/>
    <cellStyle name="Good 7 4 2" xfId="2388" xr:uid="{00000000-0005-0000-0000-000053090000}"/>
    <cellStyle name="Good 7 5" xfId="2389" xr:uid="{00000000-0005-0000-0000-000054090000}"/>
    <cellStyle name="Good 7 5 2" xfId="2390" xr:uid="{00000000-0005-0000-0000-000055090000}"/>
    <cellStyle name="Good 7 6" xfId="2391" xr:uid="{00000000-0005-0000-0000-000056090000}"/>
    <cellStyle name="Good 8" xfId="2392" xr:uid="{00000000-0005-0000-0000-000057090000}"/>
    <cellStyle name="Good 8 2" xfId="2393" xr:uid="{00000000-0005-0000-0000-000058090000}"/>
    <cellStyle name="Good 8 2 2" xfId="2394" xr:uid="{00000000-0005-0000-0000-000059090000}"/>
    <cellStyle name="Good 8 3" xfId="2395" xr:uid="{00000000-0005-0000-0000-00005A090000}"/>
    <cellStyle name="Good 8 3 2" xfId="2396" xr:uid="{00000000-0005-0000-0000-00005B090000}"/>
    <cellStyle name="Good 8 4" xfId="2397" xr:uid="{00000000-0005-0000-0000-00005C090000}"/>
    <cellStyle name="Good 8 4 2" xfId="2398" xr:uid="{00000000-0005-0000-0000-00005D090000}"/>
    <cellStyle name="Good 8 5" xfId="2399" xr:uid="{00000000-0005-0000-0000-00005E090000}"/>
    <cellStyle name="Good 8 5 2" xfId="2400" xr:uid="{00000000-0005-0000-0000-00005F090000}"/>
    <cellStyle name="Good 8 6" xfId="2401" xr:uid="{00000000-0005-0000-0000-000060090000}"/>
    <cellStyle name="Good 9" xfId="2402" xr:uid="{00000000-0005-0000-0000-000061090000}"/>
    <cellStyle name="Good 9 2" xfId="2403" xr:uid="{00000000-0005-0000-0000-000062090000}"/>
    <cellStyle name="Heading 1 10" xfId="2404" xr:uid="{00000000-0005-0000-0000-000063090000}"/>
    <cellStyle name="Heading 1 11" xfId="2405" xr:uid="{00000000-0005-0000-0000-000064090000}"/>
    <cellStyle name="Heading 1 12" xfId="2406" xr:uid="{00000000-0005-0000-0000-000065090000}"/>
    <cellStyle name="Heading 1 13" xfId="2407" xr:uid="{00000000-0005-0000-0000-000066090000}"/>
    <cellStyle name="Heading 1 14" xfId="2408" xr:uid="{00000000-0005-0000-0000-000067090000}"/>
    <cellStyle name="Heading 1 15" xfId="2409" xr:uid="{00000000-0005-0000-0000-000068090000}"/>
    <cellStyle name="Heading 1 16" xfId="2410" xr:uid="{00000000-0005-0000-0000-000069090000}"/>
    <cellStyle name="Heading 1 17" xfId="2411" xr:uid="{00000000-0005-0000-0000-00006A090000}"/>
    <cellStyle name="Heading 1 18" xfId="2412" xr:uid="{00000000-0005-0000-0000-00006B090000}"/>
    <cellStyle name="Heading 1 19" xfId="2413" xr:uid="{00000000-0005-0000-0000-00006C090000}"/>
    <cellStyle name="Heading 1 2" xfId="2414" xr:uid="{00000000-0005-0000-0000-00006D090000}"/>
    <cellStyle name="Heading 1 20" xfId="2415" xr:uid="{00000000-0005-0000-0000-00006E090000}"/>
    <cellStyle name="Heading 1 21" xfId="2416" xr:uid="{00000000-0005-0000-0000-00006F090000}"/>
    <cellStyle name="Heading 1 22" xfId="2417" xr:uid="{00000000-0005-0000-0000-000070090000}"/>
    <cellStyle name="Heading 1 3" xfId="2418" xr:uid="{00000000-0005-0000-0000-000071090000}"/>
    <cellStyle name="Heading 1 4" xfId="2419" xr:uid="{00000000-0005-0000-0000-000072090000}"/>
    <cellStyle name="Heading 1 5" xfId="2420" xr:uid="{00000000-0005-0000-0000-000073090000}"/>
    <cellStyle name="Heading 1 6" xfId="2421" xr:uid="{00000000-0005-0000-0000-000074090000}"/>
    <cellStyle name="Heading 1 7" xfId="2422" xr:uid="{00000000-0005-0000-0000-000075090000}"/>
    <cellStyle name="Heading 1 8" xfId="2423" xr:uid="{00000000-0005-0000-0000-000076090000}"/>
    <cellStyle name="Heading 1 9" xfId="2424" xr:uid="{00000000-0005-0000-0000-000077090000}"/>
    <cellStyle name="Heading 2 10" xfId="2425" xr:uid="{00000000-0005-0000-0000-000078090000}"/>
    <cellStyle name="Heading 2 11" xfId="2426" xr:uid="{00000000-0005-0000-0000-000079090000}"/>
    <cellStyle name="Heading 2 12" xfId="2427" xr:uid="{00000000-0005-0000-0000-00007A090000}"/>
    <cellStyle name="Heading 2 13" xfId="2428" xr:uid="{00000000-0005-0000-0000-00007B090000}"/>
    <cellStyle name="Heading 2 14" xfId="2429" xr:uid="{00000000-0005-0000-0000-00007C090000}"/>
    <cellStyle name="Heading 2 15" xfId="2430" xr:uid="{00000000-0005-0000-0000-00007D090000}"/>
    <cellStyle name="Heading 2 16" xfId="2431" xr:uid="{00000000-0005-0000-0000-00007E090000}"/>
    <cellStyle name="Heading 2 17" xfId="2432" xr:uid="{00000000-0005-0000-0000-00007F090000}"/>
    <cellStyle name="Heading 2 18" xfId="2433" xr:uid="{00000000-0005-0000-0000-000080090000}"/>
    <cellStyle name="Heading 2 19" xfId="2434" xr:uid="{00000000-0005-0000-0000-000081090000}"/>
    <cellStyle name="Heading 2 2" xfId="2435" xr:uid="{00000000-0005-0000-0000-000082090000}"/>
    <cellStyle name="Heading 2 20" xfId="2436" xr:uid="{00000000-0005-0000-0000-000083090000}"/>
    <cellStyle name="Heading 2 21" xfId="2437" xr:uid="{00000000-0005-0000-0000-000084090000}"/>
    <cellStyle name="Heading 2 22" xfId="2438" xr:uid="{00000000-0005-0000-0000-000085090000}"/>
    <cellStyle name="Heading 2 3" xfId="2439" xr:uid="{00000000-0005-0000-0000-000086090000}"/>
    <cellStyle name="Heading 2 4" xfId="2440" xr:uid="{00000000-0005-0000-0000-000087090000}"/>
    <cellStyle name="Heading 2 5" xfId="2441" xr:uid="{00000000-0005-0000-0000-000088090000}"/>
    <cellStyle name="Heading 2 6" xfId="2442" xr:uid="{00000000-0005-0000-0000-000089090000}"/>
    <cellStyle name="Heading 2 7" xfId="2443" xr:uid="{00000000-0005-0000-0000-00008A090000}"/>
    <cellStyle name="Heading 2 8" xfId="2444" xr:uid="{00000000-0005-0000-0000-00008B090000}"/>
    <cellStyle name="Heading 2 9" xfId="2445" xr:uid="{00000000-0005-0000-0000-00008C090000}"/>
    <cellStyle name="Heading 3 10" xfId="2446" xr:uid="{00000000-0005-0000-0000-00008D090000}"/>
    <cellStyle name="Heading 3 11" xfId="2447" xr:uid="{00000000-0005-0000-0000-00008E090000}"/>
    <cellStyle name="Heading 3 12" xfId="2448" xr:uid="{00000000-0005-0000-0000-00008F090000}"/>
    <cellStyle name="Heading 3 13" xfId="2449" xr:uid="{00000000-0005-0000-0000-000090090000}"/>
    <cellStyle name="Heading 3 14" xfId="2450" xr:uid="{00000000-0005-0000-0000-000091090000}"/>
    <cellStyle name="Heading 3 15" xfId="2451" xr:uid="{00000000-0005-0000-0000-000092090000}"/>
    <cellStyle name="Heading 3 16" xfId="2452" xr:uid="{00000000-0005-0000-0000-000093090000}"/>
    <cellStyle name="Heading 3 17" xfId="2453" xr:uid="{00000000-0005-0000-0000-000094090000}"/>
    <cellStyle name="Heading 3 18" xfId="2454" xr:uid="{00000000-0005-0000-0000-000095090000}"/>
    <cellStyle name="Heading 3 19" xfId="2455" xr:uid="{00000000-0005-0000-0000-000096090000}"/>
    <cellStyle name="Heading 3 2" xfId="2456" xr:uid="{00000000-0005-0000-0000-000097090000}"/>
    <cellStyle name="Heading 3 20" xfId="2457" xr:uid="{00000000-0005-0000-0000-000098090000}"/>
    <cellStyle name="Heading 3 21" xfId="2458" xr:uid="{00000000-0005-0000-0000-000099090000}"/>
    <cellStyle name="Heading 3 22" xfId="2459" xr:uid="{00000000-0005-0000-0000-00009A090000}"/>
    <cellStyle name="Heading 3 3" xfId="2460" xr:uid="{00000000-0005-0000-0000-00009B090000}"/>
    <cellStyle name="Heading 3 4" xfId="2461" xr:uid="{00000000-0005-0000-0000-00009C090000}"/>
    <cellStyle name="Heading 3 5" xfId="2462" xr:uid="{00000000-0005-0000-0000-00009D090000}"/>
    <cellStyle name="Heading 3 6" xfId="2463" xr:uid="{00000000-0005-0000-0000-00009E090000}"/>
    <cellStyle name="Heading 3 7" xfId="2464" xr:uid="{00000000-0005-0000-0000-00009F090000}"/>
    <cellStyle name="Heading 3 8" xfId="2465" xr:uid="{00000000-0005-0000-0000-0000A0090000}"/>
    <cellStyle name="Heading 3 9" xfId="2466" xr:uid="{00000000-0005-0000-0000-0000A1090000}"/>
    <cellStyle name="Heading 4 10" xfId="2467" xr:uid="{00000000-0005-0000-0000-0000A2090000}"/>
    <cellStyle name="Heading 4 11" xfId="2468" xr:uid="{00000000-0005-0000-0000-0000A3090000}"/>
    <cellStyle name="Heading 4 12" xfId="2469" xr:uid="{00000000-0005-0000-0000-0000A4090000}"/>
    <cellStyle name="Heading 4 13" xfId="2470" xr:uid="{00000000-0005-0000-0000-0000A5090000}"/>
    <cellStyle name="Heading 4 14" xfId="2471" xr:uid="{00000000-0005-0000-0000-0000A6090000}"/>
    <cellStyle name="Heading 4 15" xfId="2472" xr:uid="{00000000-0005-0000-0000-0000A7090000}"/>
    <cellStyle name="Heading 4 16" xfId="2473" xr:uid="{00000000-0005-0000-0000-0000A8090000}"/>
    <cellStyle name="Heading 4 17" xfId="2474" xr:uid="{00000000-0005-0000-0000-0000A9090000}"/>
    <cellStyle name="Heading 4 18" xfId="2475" xr:uid="{00000000-0005-0000-0000-0000AA090000}"/>
    <cellStyle name="Heading 4 19" xfId="2476" xr:uid="{00000000-0005-0000-0000-0000AB090000}"/>
    <cellStyle name="Heading 4 2" xfId="2477" xr:uid="{00000000-0005-0000-0000-0000AC090000}"/>
    <cellStyle name="Heading 4 20" xfId="2478" xr:uid="{00000000-0005-0000-0000-0000AD090000}"/>
    <cellStyle name="Heading 4 21" xfId="2479" xr:uid="{00000000-0005-0000-0000-0000AE090000}"/>
    <cellStyle name="Heading 4 22" xfId="2480" xr:uid="{00000000-0005-0000-0000-0000AF090000}"/>
    <cellStyle name="Heading 4 3" xfId="2481" xr:uid="{00000000-0005-0000-0000-0000B0090000}"/>
    <cellStyle name="Heading 4 4" xfId="2482" xr:uid="{00000000-0005-0000-0000-0000B1090000}"/>
    <cellStyle name="Heading 4 5" xfId="2483" xr:uid="{00000000-0005-0000-0000-0000B2090000}"/>
    <cellStyle name="Heading 4 6" xfId="2484" xr:uid="{00000000-0005-0000-0000-0000B3090000}"/>
    <cellStyle name="Heading 4 7" xfId="2485" xr:uid="{00000000-0005-0000-0000-0000B4090000}"/>
    <cellStyle name="Heading 4 8" xfId="2486" xr:uid="{00000000-0005-0000-0000-0000B5090000}"/>
    <cellStyle name="Heading 4 9" xfId="2487" xr:uid="{00000000-0005-0000-0000-0000B6090000}"/>
    <cellStyle name="Input 10" xfId="2488" xr:uid="{00000000-0005-0000-0000-0000B7090000}"/>
    <cellStyle name="Input 11" xfId="2489" xr:uid="{00000000-0005-0000-0000-0000B8090000}"/>
    <cellStyle name="Input 12" xfId="2490" xr:uid="{00000000-0005-0000-0000-0000B9090000}"/>
    <cellStyle name="Input 13" xfId="2491" xr:uid="{00000000-0005-0000-0000-0000BA090000}"/>
    <cellStyle name="Input 14" xfId="2492" xr:uid="{00000000-0005-0000-0000-0000BB090000}"/>
    <cellStyle name="Input 15" xfId="2493" xr:uid="{00000000-0005-0000-0000-0000BC090000}"/>
    <cellStyle name="Input 16" xfId="2494" xr:uid="{00000000-0005-0000-0000-0000BD090000}"/>
    <cellStyle name="Input 17" xfId="2495" xr:uid="{00000000-0005-0000-0000-0000BE090000}"/>
    <cellStyle name="Input 18" xfId="2496" xr:uid="{00000000-0005-0000-0000-0000BF090000}"/>
    <cellStyle name="Input 19" xfId="2497" xr:uid="{00000000-0005-0000-0000-0000C0090000}"/>
    <cellStyle name="Input 2" xfId="2498" xr:uid="{00000000-0005-0000-0000-0000C1090000}"/>
    <cellStyle name="Input 2 2" xfId="2499" xr:uid="{00000000-0005-0000-0000-0000C2090000}"/>
    <cellStyle name="Input 2 2 2" xfId="2500" xr:uid="{00000000-0005-0000-0000-0000C3090000}"/>
    <cellStyle name="Input 2 3" xfId="2501" xr:uid="{00000000-0005-0000-0000-0000C4090000}"/>
    <cellStyle name="Input 2 3 2" xfId="2502" xr:uid="{00000000-0005-0000-0000-0000C5090000}"/>
    <cellStyle name="Input 2 4" xfId="2503" xr:uid="{00000000-0005-0000-0000-0000C6090000}"/>
    <cellStyle name="Input 2 4 2" xfId="2504" xr:uid="{00000000-0005-0000-0000-0000C7090000}"/>
    <cellStyle name="Input 2 5" xfId="2505" xr:uid="{00000000-0005-0000-0000-0000C8090000}"/>
    <cellStyle name="Input 2 5 2" xfId="2506" xr:uid="{00000000-0005-0000-0000-0000C9090000}"/>
    <cellStyle name="Input 2 6" xfId="2507" xr:uid="{00000000-0005-0000-0000-0000CA090000}"/>
    <cellStyle name="Input 20" xfId="2508" xr:uid="{00000000-0005-0000-0000-0000CB090000}"/>
    <cellStyle name="Input 21" xfId="2509" xr:uid="{00000000-0005-0000-0000-0000CC090000}"/>
    <cellStyle name="Input 22" xfId="2510" xr:uid="{00000000-0005-0000-0000-0000CD090000}"/>
    <cellStyle name="Input 3" xfId="2511" xr:uid="{00000000-0005-0000-0000-0000CE090000}"/>
    <cellStyle name="Input 3 2" xfId="2512" xr:uid="{00000000-0005-0000-0000-0000CF090000}"/>
    <cellStyle name="Input 3 2 2" xfId="2513" xr:uid="{00000000-0005-0000-0000-0000D0090000}"/>
    <cellStyle name="Input 3 3" xfId="2514" xr:uid="{00000000-0005-0000-0000-0000D1090000}"/>
    <cellStyle name="Input 3 3 2" xfId="2515" xr:uid="{00000000-0005-0000-0000-0000D2090000}"/>
    <cellStyle name="Input 3 4" xfId="2516" xr:uid="{00000000-0005-0000-0000-0000D3090000}"/>
    <cellStyle name="Input 3 4 2" xfId="2517" xr:uid="{00000000-0005-0000-0000-0000D4090000}"/>
    <cellStyle name="Input 3 5" xfId="2518" xr:uid="{00000000-0005-0000-0000-0000D5090000}"/>
    <cellStyle name="Input 3 5 2" xfId="2519" xr:uid="{00000000-0005-0000-0000-0000D6090000}"/>
    <cellStyle name="Input 3 6" xfId="2520" xr:uid="{00000000-0005-0000-0000-0000D7090000}"/>
    <cellStyle name="Input 4" xfId="2521" xr:uid="{00000000-0005-0000-0000-0000D8090000}"/>
    <cellStyle name="Input 4 2" xfId="2522" xr:uid="{00000000-0005-0000-0000-0000D9090000}"/>
    <cellStyle name="Input 4 2 2" xfId="2523" xr:uid="{00000000-0005-0000-0000-0000DA090000}"/>
    <cellStyle name="Input 4 3" xfId="2524" xr:uid="{00000000-0005-0000-0000-0000DB090000}"/>
    <cellStyle name="Input 4 3 2" xfId="2525" xr:uid="{00000000-0005-0000-0000-0000DC090000}"/>
    <cellStyle name="Input 4 4" xfId="2526" xr:uid="{00000000-0005-0000-0000-0000DD090000}"/>
    <cellStyle name="Input 4 4 2" xfId="2527" xr:uid="{00000000-0005-0000-0000-0000DE090000}"/>
    <cellStyle name="Input 4 5" xfId="2528" xr:uid="{00000000-0005-0000-0000-0000DF090000}"/>
    <cellStyle name="Input 4 5 2" xfId="2529" xr:uid="{00000000-0005-0000-0000-0000E0090000}"/>
    <cellStyle name="Input 4 6" xfId="2530" xr:uid="{00000000-0005-0000-0000-0000E1090000}"/>
    <cellStyle name="Input 5" xfId="2531" xr:uid="{00000000-0005-0000-0000-0000E2090000}"/>
    <cellStyle name="Input 5 2" xfId="2532" xr:uid="{00000000-0005-0000-0000-0000E3090000}"/>
    <cellStyle name="Input 5 2 2" xfId="2533" xr:uid="{00000000-0005-0000-0000-0000E4090000}"/>
    <cellStyle name="Input 5 3" xfId="2534" xr:uid="{00000000-0005-0000-0000-0000E5090000}"/>
    <cellStyle name="Input 5 3 2" xfId="2535" xr:uid="{00000000-0005-0000-0000-0000E6090000}"/>
    <cellStyle name="Input 5 4" xfId="2536" xr:uid="{00000000-0005-0000-0000-0000E7090000}"/>
    <cellStyle name="Input 5 4 2" xfId="2537" xr:uid="{00000000-0005-0000-0000-0000E8090000}"/>
    <cellStyle name="Input 5 5" xfId="2538" xr:uid="{00000000-0005-0000-0000-0000E9090000}"/>
    <cellStyle name="Input 5 5 2" xfId="2539" xr:uid="{00000000-0005-0000-0000-0000EA090000}"/>
    <cellStyle name="Input 5 6" xfId="2540" xr:uid="{00000000-0005-0000-0000-0000EB090000}"/>
    <cellStyle name="Input 6" xfId="2541" xr:uid="{00000000-0005-0000-0000-0000EC090000}"/>
    <cellStyle name="Input 6 2" xfId="2542" xr:uid="{00000000-0005-0000-0000-0000ED090000}"/>
    <cellStyle name="Input 6 2 2" xfId="2543" xr:uid="{00000000-0005-0000-0000-0000EE090000}"/>
    <cellStyle name="Input 6 3" xfId="2544" xr:uid="{00000000-0005-0000-0000-0000EF090000}"/>
    <cellStyle name="Input 6 3 2" xfId="2545" xr:uid="{00000000-0005-0000-0000-0000F0090000}"/>
    <cellStyle name="Input 6 4" xfId="2546" xr:uid="{00000000-0005-0000-0000-0000F1090000}"/>
    <cellStyle name="Input 6 4 2" xfId="2547" xr:uid="{00000000-0005-0000-0000-0000F2090000}"/>
    <cellStyle name="Input 6 5" xfId="2548" xr:uid="{00000000-0005-0000-0000-0000F3090000}"/>
    <cellStyle name="Input 6 5 2" xfId="2549" xr:uid="{00000000-0005-0000-0000-0000F4090000}"/>
    <cellStyle name="Input 6 6" xfId="2550" xr:uid="{00000000-0005-0000-0000-0000F5090000}"/>
    <cellStyle name="Input 7" xfId="2551" xr:uid="{00000000-0005-0000-0000-0000F6090000}"/>
    <cellStyle name="Input 7 2" xfId="2552" xr:uid="{00000000-0005-0000-0000-0000F7090000}"/>
    <cellStyle name="Input 7 2 2" xfId="2553" xr:uid="{00000000-0005-0000-0000-0000F8090000}"/>
    <cellStyle name="Input 7 3" xfId="2554" xr:uid="{00000000-0005-0000-0000-0000F9090000}"/>
    <cellStyle name="Input 7 3 2" xfId="2555" xr:uid="{00000000-0005-0000-0000-0000FA090000}"/>
    <cellStyle name="Input 7 4" xfId="2556" xr:uid="{00000000-0005-0000-0000-0000FB090000}"/>
    <cellStyle name="Input 7 4 2" xfId="2557" xr:uid="{00000000-0005-0000-0000-0000FC090000}"/>
    <cellStyle name="Input 7 5" xfId="2558" xr:uid="{00000000-0005-0000-0000-0000FD090000}"/>
    <cellStyle name="Input 7 5 2" xfId="2559" xr:uid="{00000000-0005-0000-0000-0000FE090000}"/>
    <cellStyle name="Input 7 6" xfId="2560" xr:uid="{00000000-0005-0000-0000-0000FF090000}"/>
    <cellStyle name="Input 8" xfId="2561" xr:uid="{00000000-0005-0000-0000-0000000A0000}"/>
    <cellStyle name="Input 8 2" xfId="2562" xr:uid="{00000000-0005-0000-0000-0000010A0000}"/>
    <cellStyle name="Input 8 2 2" xfId="2563" xr:uid="{00000000-0005-0000-0000-0000020A0000}"/>
    <cellStyle name="Input 8 3" xfId="2564" xr:uid="{00000000-0005-0000-0000-0000030A0000}"/>
    <cellStyle name="Input 8 3 2" xfId="2565" xr:uid="{00000000-0005-0000-0000-0000040A0000}"/>
    <cellStyle name="Input 8 4" xfId="2566" xr:uid="{00000000-0005-0000-0000-0000050A0000}"/>
    <cellStyle name="Input 8 4 2" xfId="2567" xr:uid="{00000000-0005-0000-0000-0000060A0000}"/>
    <cellStyle name="Input 8 5" xfId="2568" xr:uid="{00000000-0005-0000-0000-0000070A0000}"/>
    <cellStyle name="Input 8 5 2" xfId="2569" xr:uid="{00000000-0005-0000-0000-0000080A0000}"/>
    <cellStyle name="Input 8 6" xfId="2570" xr:uid="{00000000-0005-0000-0000-0000090A0000}"/>
    <cellStyle name="Input 9" xfId="2571" xr:uid="{00000000-0005-0000-0000-00000A0A0000}"/>
    <cellStyle name="Input 9 2" xfId="2572" xr:uid="{00000000-0005-0000-0000-00000B0A0000}"/>
    <cellStyle name="Linked Cell 10" xfId="2573" xr:uid="{00000000-0005-0000-0000-00000C0A0000}"/>
    <cellStyle name="Linked Cell 11" xfId="2574" xr:uid="{00000000-0005-0000-0000-00000D0A0000}"/>
    <cellStyle name="Linked Cell 12" xfId="2575" xr:uid="{00000000-0005-0000-0000-00000E0A0000}"/>
    <cellStyle name="Linked Cell 13" xfId="2576" xr:uid="{00000000-0005-0000-0000-00000F0A0000}"/>
    <cellStyle name="Linked Cell 14" xfId="2577" xr:uid="{00000000-0005-0000-0000-0000100A0000}"/>
    <cellStyle name="Linked Cell 15" xfId="2578" xr:uid="{00000000-0005-0000-0000-0000110A0000}"/>
    <cellStyle name="Linked Cell 16" xfId="2579" xr:uid="{00000000-0005-0000-0000-0000120A0000}"/>
    <cellStyle name="Linked Cell 17" xfId="2580" xr:uid="{00000000-0005-0000-0000-0000130A0000}"/>
    <cellStyle name="Linked Cell 18" xfId="2581" xr:uid="{00000000-0005-0000-0000-0000140A0000}"/>
    <cellStyle name="Linked Cell 19" xfId="2582" xr:uid="{00000000-0005-0000-0000-0000150A0000}"/>
    <cellStyle name="Linked Cell 2" xfId="2583" xr:uid="{00000000-0005-0000-0000-0000160A0000}"/>
    <cellStyle name="Linked Cell 2 2" xfId="2584" xr:uid="{00000000-0005-0000-0000-0000170A0000}"/>
    <cellStyle name="Linked Cell 2 2 2" xfId="2585" xr:uid="{00000000-0005-0000-0000-0000180A0000}"/>
    <cellStyle name="Linked Cell 2 3" xfId="2586" xr:uid="{00000000-0005-0000-0000-0000190A0000}"/>
    <cellStyle name="Linked Cell 2 3 2" xfId="2587" xr:uid="{00000000-0005-0000-0000-00001A0A0000}"/>
    <cellStyle name="Linked Cell 2 4" xfId="2588" xr:uid="{00000000-0005-0000-0000-00001B0A0000}"/>
    <cellStyle name="Linked Cell 2 4 2" xfId="2589" xr:uid="{00000000-0005-0000-0000-00001C0A0000}"/>
    <cellStyle name="Linked Cell 2 5" xfId="2590" xr:uid="{00000000-0005-0000-0000-00001D0A0000}"/>
    <cellStyle name="Linked Cell 2 5 2" xfId="2591" xr:uid="{00000000-0005-0000-0000-00001E0A0000}"/>
    <cellStyle name="Linked Cell 2 6" xfId="2592" xr:uid="{00000000-0005-0000-0000-00001F0A0000}"/>
    <cellStyle name="Linked Cell 20" xfId="2593" xr:uid="{00000000-0005-0000-0000-0000200A0000}"/>
    <cellStyle name="Linked Cell 21" xfId="2594" xr:uid="{00000000-0005-0000-0000-0000210A0000}"/>
    <cellStyle name="Linked Cell 22" xfId="2595" xr:uid="{00000000-0005-0000-0000-0000220A0000}"/>
    <cellStyle name="Linked Cell 3" xfId="2596" xr:uid="{00000000-0005-0000-0000-0000230A0000}"/>
    <cellStyle name="Linked Cell 3 2" xfId="2597" xr:uid="{00000000-0005-0000-0000-0000240A0000}"/>
    <cellStyle name="Linked Cell 3 2 2" xfId="2598" xr:uid="{00000000-0005-0000-0000-0000250A0000}"/>
    <cellStyle name="Linked Cell 3 3" xfId="2599" xr:uid="{00000000-0005-0000-0000-0000260A0000}"/>
    <cellStyle name="Linked Cell 3 3 2" xfId="2600" xr:uid="{00000000-0005-0000-0000-0000270A0000}"/>
    <cellStyle name="Linked Cell 3 4" xfId="2601" xr:uid="{00000000-0005-0000-0000-0000280A0000}"/>
    <cellStyle name="Linked Cell 3 4 2" xfId="2602" xr:uid="{00000000-0005-0000-0000-0000290A0000}"/>
    <cellStyle name="Linked Cell 3 5" xfId="2603" xr:uid="{00000000-0005-0000-0000-00002A0A0000}"/>
    <cellStyle name="Linked Cell 3 5 2" xfId="2604" xr:uid="{00000000-0005-0000-0000-00002B0A0000}"/>
    <cellStyle name="Linked Cell 3 6" xfId="2605" xr:uid="{00000000-0005-0000-0000-00002C0A0000}"/>
    <cellStyle name="Linked Cell 4" xfId="2606" xr:uid="{00000000-0005-0000-0000-00002D0A0000}"/>
    <cellStyle name="Linked Cell 4 2" xfId="2607" xr:uid="{00000000-0005-0000-0000-00002E0A0000}"/>
    <cellStyle name="Linked Cell 4 2 2" xfId="2608" xr:uid="{00000000-0005-0000-0000-00002F0A0000}"/>
    <cellStyle name="Linked Cell 4 3" xfId="2609" xr:uid="{00000000-0005-0000-0000-0000300A0000}"/>
    <cellStyle name="Linked Cell 4 3 2" xfId="2610" xr:uid="{00000000-0005-0000-0000-0000310A0000}"/>
    <cellStyle name="Linked Cell 4 4" xfId="2611" xr:uid="{00000000-0005-0000-0000-0000320A0000}"/>
    <cellStyle name="Linked Cell 4 4 2" xfId="2612" xr:uid="{00000000-0005-0000-0000-0000330A0000}"/>
    <cellStyle name="Linked Cell 4 5" xfId="2613" xr:uid="{00000000-0005-0000-0000-0000340A0000}"/>
    <cellStyle name="Linked Cell 4 5 2" xfId="2614" xr:uid="{00000000-0005-0000-0000-0000350A0000}"/>
    <cellStyle name="Linked Cell 4 6" xfId="2615" xr:uid="{00000000-0005-0000-0000-0000360A0000}"/>
    <cellStyle name="Linked Cell 5" xfId="2616" xr:uid="{00000000-0005-0000-0000-0000370A0000}"/>
    <cellStyle name="Linked Cell 5 2" xfId="2617" xr:uid="{00000000-0005-0000-0000-0000380A0000}"/>
    <cellStyle name="Linked Cell 5 2 2" xfId="2618" xr:uid="{00000000-0005-0000-0000-0000390A0000}"/>
    <cellStyle name="Linked Cell 5 3" xfId="2619" xr:uid="{00000000-0005-0000-0000-00003A0A0000}"/>
    <cellStyle name="Linked Cell 5 3 2" xfId="2620" xr:uid="{00000000-0005-0000-0000-00003B0A0000}"/>
    <cellStyle name="Linked Cell 5 4" xfId="2621" xr:uid="{00000000-0005-0000-0000-00003C0A0000}"/>
    <cellStyle name="Linked Cell 5 4 2" xfId="2622" xr:uid="{00000000-0005-0000-0000-00003D0A0000}"/>
    <cellStyle name="Linked Cell 5 5" xfId="2623" xr:uid="{00000000-0005-0000-0000-00003E0A0000}"/>
    <cellStyle name="Linked Cell 5 5 2" xfId="2624" xr:uid="{00000000-0005-0000-0000-00003F0A0000}"/>
    <cellStyle name="Linked Cell 5 6" xfId="2625" xr:uid="{00000000-0005-0000-0000-0000400A0000}"/>
    <cellStyle name="Linked Cell 6" xfId="2626" xr:uid="{00000000-0005-0000-0000-0000410A0000}"/>
    <cellStyle name="Linked Cell 6 2" xfId="2627" xr:uid="{00000000-0005-0000-0000-0000420A0000}"/>
    <cellStyle name="Linked Cell 6 2 2" xfId="2628" xr:uid="{00000000-0005-0000-0000-0000430A0000}"/>
    <cellStyle name="Linked Cell 6 3" xfId="2629" xr:uid="{00000000-0005-0000-0000-0000440A0000}"/>
    <cellStyle name="Linked Cell 6 3 2" xfId="2630" xr:uid="{00000000-0005-0000-0000-0000450A0000}"/>
    <cellStyle name="Linked Cell 6 4" xfId="2631" xr:uid="{00000000-0005-0000-0000-0000460A0000}"/>
    <cellStyle name="Linked Cell 6 4 2" xfId="2632" xr:uid="{00000000-0005-0000-0000-0000470A0000}"/>
    <cellStyle name="Linked Cell 6 5" xfId="2633" xr:uid="{00000000-0005-0000-0000-0000480A0000}"/>
    <cellStyle name="Linked Cell 6 5 2" xfId="2634" xr:uid="{00000000-0005-0000-0000-0000490A0000}"/>
    <cellStyle name="Linked Cell 6 6" xfId="2635" xr:uid="{00000000-0005-0000-0000-00004A0A0000}"/>
    <cellStyle name="Linked Cell 7" xfId="2636" xr:uid="{00000000-0005-0000-0000-00004B0A0000}"/>
    <cellStyle name="Linked Cell 7 2" xfId="2637" xr:uid="{00000000-0005-0000-0000-00004C0A0000}"/>
    <cellStyle name="Linked Cell 7 2 2" xfId="2638" xr:uid="{00000000-0005-0000-0000-00004D0A0000}"/>
    <cellStyle name="Linked Cell 7 3" xfId="2639" xr:uid="{00000000-0005-0000-0000-00004E0A0000}"/>
    <cellStyle name="Linked Cell 7 3 2" xfId="2640" xr:uid="{00000000-0005-0000-0000-00004F0A0000}"/>
    <cellStyle name="Linked Cell 7 4" xfId="2641" xr:uid="{00000000-0005-0000-0000-0000500A0000}"/>
    <cellStyle name="Linked Cell 7 4 2" xfId="2642" xr:uid="{00000000-0005-0000-0000-0000510A0000}"/>
    <cellStyle name="Linked Cell 7 5" xfId="2643" xr:uid="{00000000-0005-0000-0000-0000520A0000}"/>
    <cellStyle name="Linked Cell 7 5 2" xfId="2644" xr:uid="{00000000-0005-0000-0000-0000530A0000}"/>
    <cellStyle name="Linked Cell 7 6" xfId="2645" xr:uid="{00000000-0005-0000-0000-0000540A0000}"/>
    <cellStyle name="Linked Cell 8" xfId="2646" xr:uid="{00000000-0005-0000-0000-0000550A0000}"/>
    <cellStyle name="Linked Cell 8 2" xfId="2647" xr:uid="{00000000-0005-0000-0000-0000560A0000}"/>
    <cellStyle name="Linked Cell 8 2 2" xfId="2648" xr:uid="{00000000-0005-0000-0000-0000570A0000}"/>
    <cellStyle name="Linked Cell 8 3" xfId="2649" xr:uid="{00000000-0005-0000-0000-0000580A0000}"/>
    <cellStyle name="Linked Cell 8 3 2" xfId="2650" xr:uid="{00000000-0005-0000-0000-0000590A0000}"/>
    <cellStyle name="Linked Cell 8 4" xfId="2651" xr:uid="{00000000-0005-0000-0000-00005A0A0000}"/>
    <cellStyle name="Linked Cell 8 4 2" xfId="2652" xr:uid="{00000000-0005-0000-0000-00005B0A0000}"/>
    <cellStyle name="Linked Cell 8 5" xfId="2653" xr:uid="{00000000-0005-0000-0000-00005C0A0000}"/>
    <cellStyle name="Linked Cell 8 5 2" xfId="2654" xr:uid="{00000000-0005-0000-0000-00005D0A0000}"/>
    <cellStyle name="Linked Cell 8 6" xfId="2655" xr:uid="{00000000-0005-0000-0000-00005E0A0000}"/>
    <cellStyle name="Linked Cell 9" xfId="2656" xr:uid="{00000000-0005-0000-0000-00005F0A0000}"/>
    <cellStyle name="Linked Cell 9 2" xfId="2657" xr:uid="{00000000-0005-0000-0000-0000600A0000}"/>
    <cellStyle name="Neutral 10" xfId="2658" xr:uid="{00000000-0005-0000-0000-0000610A0000}"/>
    <cellStyle name="Neutral 11" xfId="2659" xr:uid="{00000000-0005-0000-0000-0000620A0000}"/>
    <cellStyle name="Neutral 12" xfId="2660" xr:uid="{00000000-0005-0000-0000-0000630A0000}"/>
    <cellStyle name="Neutral 13" xfId="2661" xr:uid="{00000000-0005-0000-0000-0000640A0000}"/>
    <cellStyle name="Neutral 14" xfId="2662" xr:uid="{00000000-0005-0000-0000-0000650A0000}"/>
    <cellStyle name="Neutral 15" xfId="2663" xr:uid="{00000000-0005-0000-0000-0000660A0000}"/>
    <cellStyle name="Neutral 16" xfId="2664" xr:uid="{00000000-0005-0000-0000-0000670A0000}"/>
    <cellStyle name="Neutral 17" xfId="2665" xr:uid="{00000000-0005-0000-0000-0000680A0000}"/>
    <cellStyle name="Neutral 18" xfId="2666" xr:uid="{00000000-0005-0000-0000-0000690A0000}"/>
    <cellStyle name="Neutral 19" xfId="2667" xr:uid="{00000000-0005-0000-0000-00006A0A0000}"/>
    <cellStyle name="Neutral 2" xfId="2668" xr:uid="{00000000-0005-0000-0000-00006B0A0000}"/>
    <cellStyle name="Neutral 20" xfId="2669" xr:uid="{00000000-0005-0000-0000-00006C0A0000}"/>
    <cellStyle name="Neutral 21" xfId="2670" xr:uid="{00000000-0005-0000-0000-00006D0A0000}"/>
    <cellStyle name="Neutral 22" xfId="2671" xr:uid="{00000000-0005-0000-0000-00006E0A0000}"/>
    <cellStyle name="Neutral 3" xfId="2672" xr:uid="{00000000-0005-0000-0000-00006F0A0000}"/>
    <cellStyle name="Neutral 4" xfId="2673" xr:uid="{00000000-0005-0000-0000-0000700A0000}"/>
    <cellStyle name="Neutral 5" xfId="2674" xr:uid="{00000000-0005-0000-0000-0000710A0000}"/>
    <cellStyle name="Neutral 6" xfId="2675" xr:uid="{00000000-0005-0000-0000-0000720A0000}"/>
    <cellStyle name="Neutral 7" xfId="2676" xr:uid="{00000000-0005-0000-0000-0000730A0000}"/>
    <cellStyle name="Neutral 8" xfId="2677" xr:uid="{00000000-0005-0000-0000-0000740A0000}"/>
    <cellStyle name="Neutral 9" xfId="2678" xr:uid="{00000000-0005-0000-0000-0000750A0000}"/>
    <cellStyle name="Normal" xfId="0" builtinId="0"/>
    <cellStyle name="Normal 10" xfId="2679" xr:uid="{00000000-0005-0000-0000-0000770A0000}"/>
    <cellStyle name="Normal 10 2" xfId="2680" xr:uid="{00000000-0005-0000-0000-0000780A0000}"/>
    <cellStyle name="Normal 11" xfId="2681" xr:uid="{00000000-0005-0000-0000-0000790A0000}"/>
    <cellStyle name="Normal 11 2" xfId="2682" xr:uid="{00000000-0005-0000-0000-00007A0A0000}"/>
    <cellStyle name="Normal 12" xfId="2683" xr:uid="{00000000-0005-0000-0000-00007B0A0000}"/>
    <cellStyle name="Normal 12 2" xfId="2684" xr:uid="{00000000-0005-0000-0000-00007C0A0000}"/>
    <cellStyle name="Normal 13" xfId="2685" xr:uid="{00000000-0005-0000-0000-00007D0A0000}"/>
    <cellStyle name="Normal 13 2" xfId="2686" xr:uid="{00000000-0005-0000-0000-00007E0A0000}"/>
    <cellStyle name="Normal 14" xfId="2687" xr:uid="{00000000-0005-0000-0000-00007F0A0000}"/>
    <cellStyle name="Normal 14 2" xfId="2688" xr:uid="{00000000-0005-0000-0000-0000800A0000}"/>
    <cellStyle name="Normal 15" xfId="2689" xr:uid="{00000000-0005-0000-0000-0000810A0000}"/>
    <cellStyle name="Normal 15 2" xfId="2690" xr:uid="{00000000-0005-0000-0000-0000820A0000}"/>
    <cellStyle name="Normal 16" xfId="2691" xr:uid="{00000000-0005-0000-0000-0000830A0000}"/>
    <cellStyle name="Normal 16 2" xfId="2692" xr:uid="{00000000-0005-0000-0000-0000840A0000}"/>
    <cellStyle name="Normal 17" xfId="2693" xr:uid="{00000000-0005-0000-0000-0000850A0000}"/>
    <cellStyle name="Normal 17 2" xfId="2694" xr:uid="{00000000-0005-0000-0000-0000860A0000}"/>
    <cellStyle name="Normal 18" xfId="2695" xr:uid="{00000000-0005-0000-0000-0000870A0000}"/>
    <cellStyle name="Normal 18 2" xfId="2696" xr:uid="{00000000-0005-0000-0000-0000880A0000}"/>
    <cellStyle name="Normal 19" xfId="2697" xr:uid="{00000000-0005-0000-0000-0000890A0000}"/>
    <cellStyle name="Normal 19 2" xfId="2698" xr:uid="{00000000-0005-0000-0000-00008A0A0000}"/>
    <cellStyle name="Normal 2" xfId="2699" xr:uid="{00000000-0005-0000-0000-00008B0A0000}"/>
    <cellStyle name="Normal 2 10" xfId="2700" xr:uid="{00000000-0005-0000-0000-00008C0A0000}"/>
    <cellStyle name="Normal 2 10 2" xfId="2701" xr:uid="{00000000-0005-0000-0000-00008D0A0000}"/>
    <cellStyle name="Normal 2 11" xfId="2702" xr:uid="{00000000-0005-0000-0000-00008E0A0000}"/>
    <cellStyle name="Normal 2 11 2" xfId="2703" xr:uid="{00000000-0005-0000-0000-00008F0A0000}"/>
    <cellStyle name="Normal 2 12" xfId="2704" xr:uid="{00000000-0005-0000-0000-0000900A0000}"/>
    <cellStyle name="Normal 2 12 2" xfId="2705" xr:uid="{00000000-0005-0000-0000-0000910A0000}"/>
    <cellStyle name="Normal 2 13" xfId="2706" xr:uid="{00000000-0005-0000-0000-0000920A0000}"/>
    <cellStyle name="Normal 2 13 2" xfId="2707" xr:uid="{00000000-0005-0000-0000-0000930A0000}"/>
    <cellStyle name="Normal 2 14" xfId="2708" xr:uid="{00000000-0005-0000-0000-0000940A0000}"/>
    <cellStyle name="Normal 2 14 2" xfId="2709" xr:uid="{00000000-0005-0000-0000-0000950A0000}"/>
    <cellStyle name="Normal 2 15" xfId="2710" xr:uid="{00000000-0005-0000-0000-0000960A0000}"/>
    <cellStyle name="Normal 2 15 2" xfId="2711" xr:uid="{00000000-0005-0000-0000-0000970A0000}"/>
    <cellStyle name="Normal 2 16" xfId="2712" xr:uid="{00000000-0005-0000-0000-0000980A0000}"/>
    <cellStyle name="Normal 2 16 2" xfId="2713" xr:uid="{00000000-0005-0000-0000-0000990A0000}"/>
    <cellStyle name="Normal 2 17" xfId="2714" xr:uid="{00000000-0005-0000-0000-00009A0A0000}"/>
    <cellStyle name="Normal 2 17 2" xfId="2715" xr:uid="{00000000-0005-0000-0000-00009B0A0000}"/>
    <cellStyle name="Normal 2 18" xfId="2716" xr:uid="{00000000-0005-0000-0000-00009C0A0000}"/>
    <cellStyle name="Normal 2 18 2" xfId="2717" xr:uid="{00000000-0005-0000-0000-00009D0A0000}"/>
    <cellStyle name="Normal 2 19" xfId="2718" xr:uid="{00000000-0005-0000-0000-00009E0A0000}"/>
    <cellStyle name="Normal 2 19 2" xfId="2719" xr:uid="{00000000-0005-0000-0000-00009F0A0000}"/>
    <cellStyle name="Normal 2 2" xfId="2720" xr:uid="{00000000-0005-0000-0000-0000A00A0000}"/>
    <cellStyle name="Normal 2 2 10" xfId="2721" xr:uid="{00000000-0005-0000-0000-0000A10A0000}"/>
    <cellStyle name="Normal 2 2 10 2" xfId="2722" xr:uid="{00000000-0005-0000-0000-0000A20A0000}"/>
    <cellStyle name="Normal 2 2 11" xfId="2723" xr:uid="{00000000-0005-0000-0000-0000A30A0000}"/>
    <cellStyle name="Normal 2 2 11 2" xfId="2724" xr:uid="{00000000-0005-0000-0000-0000A40A0000}"/>
    <cellStyle name="Normal 2 2 12" xfId="2725" xr:uid="{00000000-0005-0000-0000-0000A50A0000}"/>
    <cellStyle name="Normal 2 2 12 2" xfId="2726" xr:uid="{00000000-0005-0000-0000-0000A60A0000}"/>
    <cellStyle name="Normal 2 2 13" xfId="2727" xr:uid="{00000000-0005-0000-0000-0000A70A0000}"/>
    <cellStyle name="Normal 2 2 13 2" xfId="2728" xr:uid="{00000000-0005-0000-0000-0000A80A0000}"/>
    <cellStyle name="Normal 2 2 14" xfId="2729" xr:uid="{00000000-0005-0000-0000-0000A90A0000}"/>
    <cellStyle name="Normal 2 2 14 2" xfId="2730" xr:uid="{00000000-0005-0000-0000-0000AA0A0000}"/>
    <cellStyle name="Normal 2 2 2" xfId="2731" xr:uid="{00000000-0005-0000-0000-0000AB0A0000}"/>
    <cellStyle name="Normal 2 2 2 2" xfId="2732" xr:uid="{00000000-0005-0000-0000-0000AC0A0000}"/>
    <cellStyle name="Normal 2 2 3" xfId="2733" xr:uid="{00000000-0005-0000-0000-0000AD0A0000}"/>
    <cellStyle name="Normal 2 2 3 2" xfId="2734" xr:uid="{00000000-0005-0000-0000-0000AE0A0000}"/>
    <cellStyle name="Normal 2 2 4" xfId="2735" xr:uid="{00000000-0005-0000-0000-0000AF0A0000}"/>
    <cellStyle name="Normal 2 2 4 2" xfId="2736" xr:uid="{00000000-0005-0000-0000-0000B00A0000}"/>
    <cellStyle name="Normal 2 2 5" xfId="2737" xr:uid="{00000000-0005-0000-0000-0000B10A0000}"/>
    <cellStyle name="Normal 2 2 5 2" xfId="2738" xr:uid="{00000000-0005-0000-0000-0000B20A0000}"/>
    <cellStyle name="Normal 2 2 6" xfId="2739" xr:uid="{00000000-0005-0000-0000-0000B30A0000}"/>
    <cellStyle name="Normal 2 2 6 2" xfId="2740" xr:uid="{00000000-0005-0000-0000-0000B40A0000}"/>
    <cellStyle name="Normal 2 2 7" xfId="2741" xr:uid="{00000000-0005-0000-0000-0000B50A0000}"/>
    <cellStyle name="Normal 2 2 7 2" xfId="2742" xr:uid="{00000000-0005-0000-0000-0000B60A0000}"/>
    <cellStyle name="Normal 2 2 8" xfId="2743" xr:uid="{00000000-0005-0000-0000-0000B70A0000}"/>
    <cellStyle name="Normal 2 2 8 2" xfId="2744" xr:uid="{00000000-0005-0000-0000-0000B80A0000}"/>
    <cellStyle name="Normal 2 2 9" xfId="2745" xr:uid="{00000000-0005-0000-0000-0000B90A0000}"/>
    <cellStyle name="Normal 2 2 9 2" xfId="2746" xr:uid="{00000000-0005-0000-0000-0000BA0A0000}"/>
    <cellStyle name="Normal 2 20" xfId="2747" xr:uid="{00000000-0005-0000-0000-0000BB0A0000}"/>
    <cellStyle name="Normal 2 20 2" xfId="2748" xr:uid="{00000000-0005-0000-0000-0000BC0A0000}"/>
    <cellStyle name="Normal 2 21" xfId="2749" xr:uid="{00000000-0005-0000-0000-0000BD0A0000}"/>
    <cellStyle name="Normal 2 21 2" xfId="2750" xr:uid="{00000000-0005-0000-0000-0000BE0A0000}"/>
    <cellStyle name="Normal 2 22" xfId="2751" xr:uid="{00000000-0005-0000-0000-0000BF0A0000}"/>
    <cellStyle name="Normal 2 22 2" xfId="2752" xr:uid="{00000000-0005-0000-0000-0000C00A0000}"/>
    <cellStyle name="Normal 2 23" xfId="2753" xr:uid="{00000000-0005-0000-0000-0000C10A0000}"/>
    <cellStyle name="Normal 2 23 2" xfId="2754" xr:uid="{00000000-0005-0000-0000-0000C20A0000}"/>
    <cellStyle name="Normal 2 24" xfId="2755" xr:uid="{00000000-0005-0000-0000-0000C30A0000}"/>
    <cellStyle name="Normal 2 24 2" xfId="2756" xr:uid="{00000000-0005-0000-0000-0000C40A0000}"/>
    <cellStyle name="Normal 2 25" xfId="2757" xr:uid="{00000000-0005-0000-0000-0000C50A0000}"/>
    <cellStyle name="Normal 2 25 2" xfId="2758" xr:uid="{00000000-0005-0000-0000-0000C60A0000}"/>
    <cellStyle name="Normal 2 26" xfId="2759" xr:uid="{00000000-0005-0000-0000-0000C70A0000}"/>
    <cellStyle name="Normal 2 26 2" xfId="2760" xr:uid="{00000000-0005-0000-0000-0000C80A0000}"/>
    <cellStyle name="Normal 2 27" xfId="2761" xr:uid="{00000000-0005-0000-0000-0000C90A0000}"/>
    <cellStyle name="Normal 2 27 2" xfId="2762" xr:uid="{00000000-0005-0000-0000-0000CA0A0000}"/>
    <cellStyle name="Normal 2 28" xfId="2763" xr:uid="{00000000-0005-0000-0000-0000CB0A0000}"/>
    <cellStyle name="Normal 2 28 2" xfId="2764" xr:uid="{00000000-0005-0000-0000-0000CC0A0000}"/>
    <cellStyle name="Normal 2 29" xfId="2765" xr:uid="{00000000-0005-0000-0000-0000CD0A0000}"/>
    <cellStyle name="Normal 2 29 2" xfId="2766" xr:uid="{00000000-0005-0000-0000-0000CE0A0000}"/>
    <cellStyle name="Normal 2 3" xfId="2767" xr:uid="{00000000-0005-0000-0000-0000CF0A0000}"/>
    <cellStyle name="Normal 2 3 2" xfId="2768" xr:uid="{00000000-0005-0000-0000-0000D00A0000}"/>
    <cellStyle name="Normal 2 30" xfId="2769" xr:uid="{00000000-0005-0000-0000-0000D10A0000}"/>
    <cellStyle name="Normal 2 30 2" xfId="2770" xr:uid="{00000000-0005-0000-0000-0000D20A0000}"/>
    <cellStyle name="Normal 2 31" xfId="2771" xr:uid="{00000000-0005-0000-0000-0000D30A0000}"/>
    <cellStyle name="Normal 2 31 2" xfId="2772" xr:uid="{00000000-0005-0000-0000-0000D40A0000}"/>
    <cellStyle name="Normal 2 32" xfId="2773" xr:uid="{00000000-0005-0000-0000-0000D50A0000}"/>
    <cellStyle name="Normal 2 32 2" xfId="2774" xr:uid="{00000000-0005-0000-0000-0000D60A0000}"/>
    <cellStyle name="Normal 2 33" xfId="2775" xr:uid="{00000000-0005-0000-0000-0000D70A0000}"/>
    <cellStyle name="Normal 2 33 2" xfId="2776" xr:uid="{00000000-0005-0000-0000-0000D80A0000}"/>
    <cellStyle name="Normal 2 34" xfId="2777" xr:uid="{00000000-0005-0000-0000-0000D90A0000}"/>
    <cellStyle name="Normal 2 34 2" xfId="2778" xr:uid="{00000000-0005-0000-0000-0000DA0A0000}"/>
    <cellStyle name="Normal 2 35" xfId="2779" xr:uid="{00000000-0005-0000-0000-0000DB0A0000}"/>
    <cellStyle name="Normal 2 35 2" xfId="2780" xr:uid="{00000000-0005-0000-0000-0000DC0A0000}"/>
    <cellStyle name="Normal 2 36" xfId="2781" xr:uid="{00000000-0005-0000-0000-0000DD0A0000}"/>
    <cellStyle name="Normal 2 36 2" xfId="2782" xr:uid="{00000000-0005-0000-0000-0000DE0A0000}"/>
    <cellStyle name="Normal 2 37" xfId="2783" xr:uid="{00000000-0005-0000-0000-0000DF0A0000}"/>
    <cellStyle name="Normal 2 37 2" xfId="2784" xr:uid="{00000000-0005-0000-0000-0000E00A0000}"/>
    <cellStyle name="Normal 2 38" xfId="2785" xr:uid="{00000000-0005-0000-0000-0000E10A0000}"/>
    <cellStyle name="Normal 2 38 2" xfId="2786" xr:uid="{00000000-0005-0000-0000-0000E20A0000}"/>
    <cellStyle name="Normal 2 39" xfId="2787" xr:uid="{00000000-0005-0000-0000-0000E30A0000}"/>
    <cellStyle name="Normal 2 39 2" xfId="2788" xr:uid="{00000000-0005-0000-0000-0000E40A0000}"/>
    <cellStyle name="Normal 2 4" xfId="2789" xr:uid="{00000000-0005-0000-0000-0000E50A0000}"/>
    <cellStyle name="Normal 2 4 2" xfId="2790" xr:uid="{00000000-0005-0000-0000-0000E60A0000}"/>
    <cellStyle name="Normal 2 40" xfId="2791" xr:uid="{00000000-0005-0000-0000-0000E70A0000}"/>
    <cellStyle name="Normal 2 40 2" xfId="2792" xr:uid="{00000000-0005-0000-0000-0000E80A0000}"/>
    <cellStyle name="Normal 2 41" xfId="2793" xr:uid="{00000000-0005-0000-0000-0000E90A0000}"/>
    <cellStyle name="Normal 2 41 2" xfId="2794" xr:uid="{00000000-0005-0000-0000-0000EA0A0000}"/>
    <cellStyle name="Normal 2 42" xfId="2795" xr:uid="{00000000-0005-0000-0000-0000EB0A0000}"/>
    <cellStyle name="Normal 2 42 2" xfId="2796" xr:uid="{00000000-0005-0000-0000-0000EC0A0000}"/>
    <cellStyle name="Normal 2 43" xfId="2797" xr:uid="{00000000-0005-0000-0000-0000ED0A0000}"/>
    <cellStyle name="Normal 2 43 2" xfId="2798" xr:uid="{00000000-0005-0000-0000-0000EE0A0000}"/>
    <cellStyle name="Normal 2 44" xfId="2799" xr:uid="{00000000-0005-0000-0000-0000EF0A0000}"/>
    <cellStyle name="Normal 2 44 2" xfId="2800" xr:uid="{00000000-0005-0000-0000-0000F00A0000}"/>
    <cellStyle name="Normal 2 45" xfId="2801" xr:uid="{00000000-0005-0000-0000-0000F10A0000}"/>
    <cellStyle name="Normal 2 45 2" xfId="2802" xr:uid="{00000000-0005-0000-0000-0000F20A0000}"/>
    <cellStyle name="Normal 2 46" xfId="2803" xr:uid="{00000000-0005-0000-0000-0000F30A0000}"/>
    <cellStyle name="Normal 2 46 2" xfId="2804" xr:uid="{00000000-0005-0000-0000-0000F40A0000}"/>
    <cellStyle name="Normal 2 47" xfId="2805" xr:uid="{00000000-0005-0000-0000-0000F50A0000}"/>
    <cellStyle name="Normal 2 47 2" xfId="2806" xr:uid="{00000000-0005-0000-0000-0000F60A0000}"/>
    <cellStyle name="Normal 2 48" xfId="2807" xr:uid="{00000000-0005-0000-0000-0000F70A0000}"/>
    <cellStyle name="Normal 2 48 2" xfId="2808" xr:uid="{00000000-0005-0000-0000-0000F80A0000}"/>
    <cellStyle name="Normal 2 49" xfId="2809" xr:uid="{00000000-0005-0000-0000-0000F90A0000}"/>
    <cellStyle name="Normal 2 5" xfId="2810" xr:uid="{00000000-0005-0000-0000-0000FA0A0000}"/>
    <cellStyle name="Normal 2 5 2" xfId="2811" xr:uid="{00000000-0005-0000-0000-0000FB0A0000}"/>
    <cellStyle name="Normal 2 50" xfId="2812" xr:uid="{00000000-0005-0000-0000-0000FC0A0000}"/>
    <cellStyle name="Normal 2 6" xfId="2813" xr:uid="{00000000-0005-0000-0000-0000FD0A0000}"/>
    <cellStyle name="Normal 2 6 2" xfId="2814" xr:uid="{00000000-0005-0000-0000-0000FE0A0000}"/>
    <cellStyle name="Normal 2 7" xfId="2815" xr:uid="{00000000-0005-0000-0000-0000FF0A0000}"/>
    <cellStyle name="Normal 2 7 2" xfId="2816" xr:uid="{00000000-0005-0000-0000-0000000B0000}"/>
    <cellStyle name="Normal 2 8" xfId="2817" xr:uid="{00000000-0005-0000-0000-0000010B0000}"/>
    <cellStyle name="Normal 2 8 2" xfId="2818" xr:uid="{00000000-0005-0000-0000-0000020B0000}"/>
    <cellStyle name="Normal 2 9" xfId="2819" xr:uid="{00000000-0005-0000-0000-0000030B0000}"/>
    <cellStyle name="Normal 2 9 2" xfId="2820" xr:uid="{00000000-0005-0000-0000-0000040B0000}"/>
    <cellStyle name="Normal 20" xfId="2821" xr:uid="{00000000-0005-0000-0000-0000050B0000}"/>
    <cellStyle name="Normal 20 2" xfId="2822" xr:uid="{00000000-0005-0000-0000-0000060B0000}"/>
    <cellStyle name="Normal 21" xfId="2823" xr:uid="{00000000-0005-0000-0000-0000070B0000}"/>
    <cellStyle name="Normal 21 2" xfId="2824" xr:uid="{00000000-0005-0000-0000-0000080B0000}"/>
    <cellStyle name="Normal 22" xfId="2825" xr:uid="{00000000-0005-0000-0000-0000090B0000}"/>
    <cellStyle name="Normal 22 2" xfId="2826" xr:uid="{00000000-0005-0000-0000-00000A0B0000}"/>
    <cellStyle name="Normal 23" xfId="2827" xr:uid="{00000000-0005-0000-0000-00000B0B0000}"/>
    <cellStyle name="Normal 24" xfId="2828" xr:uid="{00000000-0005-0000-0000-00000C0B0000}"/>
    <cellStyle name="Normal 24 2" xfId="2829" xr:uid="{00000000-0005-0000-0000-00000D0B0000}"/>
    <cellStyle name="Normal 25 2" xfId="2830" xr:uid="{00000000-0005-0000-0000-00000E0B0000}"/>
    <cellStyle name="Normal 26" xfId="2831" xr:uid="{00000000-0005-0000-0000-00000F0B0000}"/>
    <cellStyle name="Normal 26 2" xfId="2832" xr:uid="{00000000-0005-0000-0000-0000100B0000}"/>
    <cellStyle name="Normal 27" xfId="2833" xr:uid="{00000000-0005-0000-0000-0000110B0000}"/>
    <cellStyle name="Normal 27 2" xfId="2834" xr:uid="{00000000-0005-0000-0000-0000120B0000}"/>
    <cellStyle name="Normal 28" xfId="2835" xr:uid="{00000000-0005-0000-0000-0000130B0000}"/>
    <cellStyle name="Normal 28 2" xfId="2836" xr:uid="{00000000-0005-0000-0000-0000140B0000}"/>
    <cellStyle name="Normal 29" xfId="2837" xr:uid="{00000000-0005-0000-0000-0000150B0000}"/>
    <cellStyle name="Normal 29 2" xfId="2838" xr:uid="{00000000-0005-0000-0000-0000160B0000}"/>
    <cellStyle name="Normal 29 2 2" xfId="2839" xr:uid="{00000000-0005-0000-0000-0000170B0000}"/>
    <cellStyle name="Normal 29 3" xfId="2840" xr:uid="{00000000-0005-0000-0000-0000180B0000}"/>
    <cellStyle name="Normal 3" xfId="2841" xr:uid="{00000000-0005-0000-0000-0000190B0000}"/>
    <cellStyle name="Normal 3 10" xfId="2842" xr:uid="{00000000-0005-0000-0000-00001A0B0000}"/>
    <cellStyle name="Normal 3 10 2" xfId="2843" xr:uid="{00000000-0005-0000-0000-00001B0B0000}"/>
    <cellStyle name="Normal 3 11" xfId="2844" xr:uid="{00000000-0005-0000-0000-00001C0B0000}"/>
    <cellStyle name="Normal 3 11 2" xfId="2845" xr:uid="{00000000-0005-0000-0000-00001D0B0000}"/>
    <cellStyle name="Normal 3 12" xfId="2846" xr:uid="{00000000-0005-0000-0000-00001E0B0000}"/>
    <cellStyle name="Normal 3 12 2" xfId="2847" xr:uid="{00000000-0005-0000-0000-00001F0B0000}"/>
    <cellStyle name="Normal 3 13" xfId="2848" xr:uid="{00000000-0005-0000-0000-0000200B0000}"/>
    <cellStyle name="Normal 3 13 2" xfId="2849" xr:uid="{00000000-0005-0000-0000-0000210B0000}"/>
    <cellStyle name="Normal 3 14" xfId="2850" xr:uid="{00000000-0005-0000-0000-0000220B0000}"/>
    <cellStyle name="Normal 3 14 2" xfId="2851" xr:uid="{00000000-0005-0000-0000-0000230B0000}"/>
    <cellStyle name="Normal 3 15" xfId="2852" xr:uid="{00000000-0005-0000-0000-0000240B0000}"/>
    <cellStyle name="Normal 3 15 2" xfId="2853" xr:uid="{00000000-0005-0000-0000-0000250B0000}"/>
    <cellStyle name="Normal 3 16" xfId="2854" xr:uid="{00000000-0005-0000-0000-0000260B0000}"/>
    <cellStyle name="Normal 3 16 2" xfId="2855" xr:uid="{00000000-0005-0000-0000-0000270B0000}"/>
    <cellStyle name="Normal 3 17" xfId="2856" xr:uid="{00000000-0005-0000-0000-0000280B0000}"/>
    <cellStyle name="Normal 3 17 2" xfId="2857" xr:uid="{00000000-0005-0000-0000-0000290B0000}"/>
    <cellStyle name="Normal 3 18" xfId="2858" xr:uid="{00000000-0005-0000-0000-00002A0B0000}"/>
    <cellStyle name="Normal 3 18 2" xfId="2859" xr:uid="{00000000-0005-0000-0000-00002B0B0000}"/>
    <cellStyle name="Normal 3 19" xfId="2860" xr:uid="{00000000-0005-0000-0000-00002C0B0000}"/>
    <cellStyle name="Normal 3 19 2" xfId="2861" xr:uid="{00000000-0005-0000-0000-00002D0B0000}"/>
    <cellStyle name="Normal 3 2" xfId="2862" xr:uid="{00000000-0005-0000-0000-00002E0B0000}"/>
    <cellStyle name="Normal 3 2 2" xfId="2863" xr:uid="{00000000-0005-0000-0000-00002F0B0000}"/>
    <cellStyle name="Normal 3 2 2 2" xfId="2864" xr:uid="{00000000-0005-0000-0000-0000300B0000}"/>
    <cellStyle name="Normal 3 2 3" xfId="2865" xr:uid="{00000000-0005-0000-0000-0000310B0000}"/>
    <cellStyle name="Normal 3 2 3 2" xfId="2866" xr:uid="{00000000-0005-0000-0000-0000320B0000}"/>
    <cellStyle name="Normal 3 20" xfId="2867" xr:uid="{00000000-0005-0000-0000-0000330B0000}"/>
    <cellStyle name="Normal 3 20 2" xfId="2868" xr:uid="{00000000-0005-0000-0000-0000340B0000}"/>
    <cellStyle name="Normal 3 21" xfId="2869" xr:uid="{00000000-0005-0000-0000-0000350B0000}"/>
    <cellStyle name="Normal 3 21 2" xfId="2870" xr:uid="{00000000-0005-0000-0000-0000360B0000}"/>
    <cellStyle name="Normal 3 22" xfId="2871" xr:uid="{00000000-0005-0000-0000-0000370B0000}"/>
    <cellStyle name="Normal 3 22 2" xfId="2872" xr:uid="{00000000-0005-0000-0000-0000380B0000}"/>
    <cellStyle name="Normal 3 23" xfId="2873" xr:uid="{00000000-0005-0000-0000-0000390B0000}"/>
    <cellStyle name="Normal 3 23 2" xfId="2874" xr:uid="{00000000-0005-0000-0000-00003A0B0000}"/>
    <cellStyle name="Normal 3 24" xfId="2875" xr:uid="{00000000-0005-0000-0000-00003B0B0000}"/>
    <cellStyle name="Normal 3 24 2" xfId="2876" xr:uid="{00000000-0005-0000-0000-00003C0B0000}"/>
    <cellStyle name="Normal 3 25" xfId="2877" xr:uid="{00000000-0005-0000-0000-00003D0B0000}"/>
    <cellStyle name="Normal 3 25 2" xfId="2878" xr:uid="{00000000-0005-0000-0000-00003E0B0000}"/>
    <cellStyle name="Normal 3 26" xfId="2879" xr:uid="{00000000-0005-0000-0000-00003F0B0000}"/>
    <cellStyle name="Normal 3 26 2" xfId="2880" xr:uid="{00000000-0005-0000-0000-0000400B0000}"/>
    <cellStyle name="Normal 3 27" xfId="2881" xr:uid="{00000000-0005-0000-0000-0000410B0000}"/>
    <cellStyle name="Normal 3 27 2" xfId="2882" xr:uid="{00000000-0005-0000-0000-0000420B0000}"/>
    <cellStyle name="Normal 3 28" xfId="2883" xr:uid="{00000000-0005-0000-0000-0000430B0000}"/>
    <cellStyle name="Normal 3 28 2" xfId="2884" xr:uid="{00000000-0005-0000-0000-0000440B0000}"/>
    <cellStyle name="Normal 3 29" xfId="2885" xr:uid="{00000000-0005-0000-0000-0000450B0000}"/>
    <cellStyle name="Normal 3 29 2" xfId="2886" xr:uid="{00000000-0005-0000-0000-0000460B0000}"/>
    <cellStyle name="Normal 3 3" xfId="2887" xr:uid="{00000000-0005-0000-0000-0000470B0000}"/>
    <cellStyle name="Normal 3 3 2" xfId="2888" xr:uid="{00000000-0005-0000-0000-0000480B0000}"/>
    <cellStyle name="Normal 3 30" xfId="2889" xr:uid="{00000000-0005-0000-0000-0000490B0000}"/>
    <cellStyle name="Normal 3 30 2" xfId="2890" xr:uid="{00000000-0005-0000-0000-00004A0B0000}"/>
    <cellStyle name="Normal 3 31" xfId="2891" xr:uid="{00000000-0005-0000-0000-00004B0B0000}"/>
    <cellStyle name="Normal 3 31 2" xfId="2892" xr:uid="{00000000-0005-0000-0000-00004C0B0000}"/>
    <cellStyle name="Normal 3 32" xfId="2893" xr:uid="{00000000-0005-0000-0000-00004D0B0000}"/>
    <cellStyle name="Normal 3 32 2" xfId="2894" xr:uid="{00000000-0005-0000-0000-00004E0B0000}"/>
    <cellStyle name="Normal 3 33" xfId="2895" xr:uid="{00000000-0005-0000-0000-00004F0B0000}"/>
    <cellStyle name="Normal 3 33 2" xfId="2896" xr:uid="{00000000-0005-0000-0000-0000500B0000}"/>
    <cellStyle name="Normal 3 34" xfId="2897" xr:uid="{00000000-0005-0000-0000-0000510B0000}"/>
    <cellStyle name="Normal 3 34 2" xfId="2898" xr:uid="{00000000-0005-0000-0000-0000520B0000}"/>
    <cellStyle name="Normal 3 35" xfId="2899" xr:uid="{00000000-0005-0000-0000-0000530B0000}"/>
    <cellStyle name="Normal 3 35 2" xfId="2900" xr:uid="{00000000-0005-0000-0000-0000540B0000}"/>
    <cellStyle name="Normal 3 36" xfId="2901" xr:uid="{00000000-0005-0000-0000-0000550B0000}"/>
    <cellStyle name="Normal 3 36 2" xfId="2902" xr:uid="{00000000-0005-0000-0000-0000560B0000}"/>
    <cellStyle name="Normal 3 37" xfId="2903" xr:uid="{00000000-0005-0000-0000-0000570B0000}"/>
    <cellStyle name="Normal 3 37 2" xfId="2904" xr:uid="{00000000-0005-0000-0000-0000580B0000}"/>
    <cellStyle name="Normal 3 38" xfId="2905" xr:uid="{00000000-0005-0000-0000-0000590B0000}"/>
    <cellStyle name="Normal 3 38 2" xfId="2906" xr:uid="{00000000-0005-0000-0000-00005A0B0000}"/>
    <cellStyle name="Normal 3 39" xfId="2907" xr:uid="{00000000-0005-0000-0000-00005B0B0000}"/>
    <cellStyle name="Normal 3 4" xfId="2908" xr:uid="{00000000-0005-0000-0000-00005C0B0000}"/>
    <cellStyle name="Normal 3 4 2" xfId="2909" xr:uid="{00000000-0005-0000-0000-00005D0B0000}"/>
    <cellStyle name="Normal 3 40" xfId="2910" xr:uid="{00000000-0005-0000-0000-00005E0B0000}"/>
    <cellStyle name="Normal 3 5" xfId="2911" xr:uid="{00000000-0005-0000-0000-00005F0B0000}"/>
    <cellStyle name="Normal 3 5 2" xfId="2912" xr:uid="{00000000-0005-0000-0000-0000600B0000}"/>
    <cellStyle name="Normal 3 6" xfId="2913" xr:uid="{00000000-0005-0000-0000-0000610B0000}"/>
    <cellStyle name="Normal 3 6 2" xfId="2914" xr:uid="{00000000-0005-0000-0000-0000620B0000}"/>
    <cellStyle name="Normal 3 7" xfId="2915" xr:uid="{00000000-0005-0000-0000-0000630B0000}"/>
    <cellStyle name="Normal 3 7 2" xfId="2916" xr:uid="{00000000-0005-0000-0000-0000640B0000}"/>
    <cellStyle name="Normal 3 8" xfId="2917" xr:uid="{00000000-0005-0000-0000-0000650B0000}"/>
    <cellStyle name="Normal 3 8 2" xfId="2918" xr:uid="{00000000-0005-0000-0000-0000660B0000}"/>
    <cellStyle name="Normal 3 9" xfId="2919" xr:uid="{00000000-0005-0000-0000-0000670B0000}"/>
    <cellStyle name="Normal 3 9 2" xfId="2920" xr:uid="{00000000-0005-0000-0000-0000680B0000}"/>
    <cellStyle name="Normal 30" xfId="2921" xr:uid="{00000000-0005-0000-0000-0000690B0000}"/>
    <cellStyle name="Normal 30 2" xfId="2922" xr:uid="{00000000-0005-0000-0000-00006A0B0000}"/>
    <cellStyle name="Normal 31" xfId="2923" xr:uid="{00000000-0005-0000-0000-00006B0B0000}"/>
    <cellStyle name="Normal 32" xfId="2924" xr:uid="{00000000-0005-0000-0000-00006C0B0000}"/>
    <cellStyle name="Normal 32 2" xfId="2925" xr:uid="{00000000-0005-0000-0000-00006D0B0000}"/>
    <cellStyle name="Normal 33" xfId="2926" xr:uid="{00000000-0005-0000-0000-00006E0B0000}"/>
    <cellStyle name="Normal 33 2" xfId="2927" xr:uid="{00000000-0005-0000-0000-00006F0B0000}"/>
    <cellStyle name="Normal 34" xfId="2928" xr:uid="{00000000-0005-0000-0000-0000700B0000}"/>
    <cellStyle name="Normal 34 2" xfId="2929" xr:uid="{00000000-0005-0000-0000-0000710B0000}"/>
    <cellStyle name="Normal 35" xfId="2930" xr:uid="{00000000-0005-0000-0000-0000720B0000}"/>
    <cellStyle name="Normal 35 2" xfId="2931" xr:uid="{00000000-0005-0000-0000-0000730B0000}"/>
    <cellStyle name="Normal 36" xfId="2932" xr:uid="{00000000-0005-0000-0000-0000740B0000}"/>
    <cellStyle name="Normal 37" xfId="2933" xr:uid="{00000000-0005-0000-0000-0000750B0000}"/>
    <cellStyle name="Normal 38" xfId="2934" xr:uid="{00000000-0005-0000-0000-0000760B0000}"/>
    <cellStyle name="Normal 39" xfId="2935" xr:uid="{00000000-0005-0000-0000-0000770B0000}"/>
    <cellStyle name="Normal 39 2" xfId="2936" xr:uid="{00000000-0005-0000-0000-0000780B0000}"/>
    <cellStyle name="Normal 4" xfId="2937" xr:uid="{00000000-0005-0000-0000-0000790B0000}"/>
    <cellStyle name="Normal 4 10" xfId="2938" xr:uid="{00000000-0005-0000-0000-00007A0B0000}"/>
    <cellStyle name="Normal 4 10 2" xfId="2939" xr:uid="{00000000-0005-0000-0000-00007B0B0000}"/>
    <cellStyle name="Normal 4 11" xfId="2940" xr:uid="{00000000-0005-0000-0000-00007C0B0000}"/>
    <cellStyle name="Normal 4 11 2" xfId="2941" xr:uid="{00000000-0005-0000-0000-00007D0B0000}"/>
    <cellStyle name="Normal 4 12" xfId="2942" xr:uid="{00000000-0005-0000-0000-00007E0B0000}"/>
    <cellStyle name="Normal 4 12 2" xfId="2943" xr:uid="{00000000-0005-0000-0000-00007F0B0000}"/>
    <cellStyle name="Normal 4 13" xfId="2944" xr:uid="{00000000-0005-0000-0000-0000800B0000}"/>
    <cellStyle name="Normal 4 13 2" xfId="2945" xr:uid="{00000000-0005-0000-0000-0000810B0000}"/>
    <cellStyle name="Normal 4 14" xfId="2946" xr:uid="{00000000-0005-0000-0000-0000820B0000}"/>
    <cellStyle name="Normal 4 14 2" xfId="2947" xr:uid="{00000000-0005-0000-0000-0000830B0000}"/>
    <cellStyle name="Normal 4 15" xfId="2948" xr:uid="{00000000-0005-0000-0000-0000840B0000}"/>
    <cellStyle name="Normal 4 15 2" xfId="2949" xr:uid="{00000000-0005-0000-0000-0000850B0000}"/>
    <cellStyle name="Normal 4 16" xfId="2950" xr:uid="{00000000-0005-0000-0000-0000860B0000}"/>
    <cellStyle name="Normal 4 16 2" xfId="2951" xr:uid="{00000000-0005-0000-0000-0000870B0000}"/>
    <cellStyle name="Normal 4 17" xfId="2952" xr:uid="{00000000-0005-0000-0000-0000880B0000}"/>
    <cellStyle name="Normal 4 17 2" xfId="2953" xr:uid="{00000000-0005-0000-0000-0000890B0000}"/>
    <cellStyle name="Normal 4 18" xfId="2954" xr:uid="{00000000-0005-0000-0000-00008A0B0000}"/>
    <cellStyle name="Normal 4 18 2" xfId="2955" xr:uid="{00000000-0005-0000-0000-00008B0B0000}"/>
    <cellStyle name="Normal 4 19" xfId="2956" xr:uid="{00000000-0005-0000-0000-00008C0B0000}"/>
    <cellStyle name="Normal 4 19 2" xfId="2957" xr:uid="{00000000-0005-0000-0000-00008D0B0000}"/>
    <cellStyle name="Normal 4 2" xfId="2958" xr:uid="{00000000-0005-0000-0000-00008E0B0000}"/>
    <cellStyle name="Normal 4 2 2" xfId="2959" xr:uid="{00000000-0005-0000-0000-00008F0B0000}"/>
    <cellStyle name="Normal 4 20" xfId="2960" xr:uid="{00000000-0005-0000-0000-0000900B0000}"/>
    <cellStyle name="Normal 4 20 2" xfId="2961" xr:uid="{00000000-0005-0000-0000-0000910B0000}"/>
    <cellStyle name="Normal 4 21" xfId="2962" xr:uid="{00000000-0005-0000-0000-0000920B0000}"/>
    <cellStyle name="Normal 4 21 2" xfId="2963" xr:uid="{00000000-0005-0000-0000-0000930B0000}"/>
    <cellStyle name="Normal 4 22" xfId="2964" xr:uid="{00000000-0005-0000-0000-0000940B0000}"/>
    <cellStyle name="Normal 4 22 2" xfId="2965" xr:uid="{00000000-0005-0000-0000-0000950B0000}"/>
    <cellStyle name="Normal 4 23" xfId="2966" xr:uid="{00000000-0005-0000-0000-0000960B0000}"/>
    <cellStyle name="Normal 4 23 2" xfId="2967" xr:uid="{00000000-0005-0000-0000-0000970B0000}"/>
    <cellStyle name="Normal 4 24" xfId="2968" xr:uid="{00000000-0005-0000-0000-0000980B0000}"/>
    <cellStyle name="Normal 4 24 2" xfId="2969" xr:uid="{00000000-0005-0000-0000-0000990B0000}"/>
    <cellStyle name="Normal 4 25" xfId="2970" xr:uid="{00000000-0005-0000-0000-00009A0B0000}"/>
    <cellStyle name="Normal 4 25 2" xfId="2971" xr:uid="{00000000-0005-0000-0000-00009B0B0000}"/>
    <cellStyle name="Normal 4 26" xfId="2972" xr:uid="{00000000-0005-0000-0000-00009C0B0000}"/>
    <cellStyle name="Normal 4 26 2" xfId="2973" xr:uid="{00000000-0005-0000-0000-00009D0B0000}"/>
    <cellStyle name="Normal 4 27" xfId="2974" xr:uid="{00000000-0005-0000-0000-00009E0B0000}"/>
    <cellStyle name="Normal 4 27 2" xfId="2975" xr:uid="{00000000-0005-0000-0000-00009F0B0000}"/>
    <cellStyle name="Normal 4 28" xfId="2976" xr:uid="{00000000-0005-0000-0000-0000A00B0000}"/>
    <cellStyle name="Normal 4 28 2" xfId="2977" xr:uid="{00000000-0005-0000-0000-0000A10B0000}"/>
    <cellStyle name="Normal 4 29" xfId="2978" xr:uid="{00000000-0005-0000-0000-0000A20B0000}"/>
    <cellStyle name="Normal 4 29 2" xfId="2979" xr:uid="{00000000-0005-0000-0000-0000A30B0000}"/>
    <cellStyle name="Normal 4 3" xfId="2980" xr:uid="{00000000-0005-0000-0000-0000A40B0000}"/>
    <cellStyle name="Normal 4 3 2" xfId="2981" xr:uid="{00000000-0005-0000-0000-0000A50B0000}"/>
    <cellStyle name="Normal 4 30" xfId="2982" xr:uid="{00000000-0005-0000-0000-0000A60B0000}"/>
    <cellStyle name="Normal 4 30 2" xfId="2983" xr:uid="{00000000-0005-0000-0000-0000A70B0000}"/>
    <cellStyle name="Normal 4 31" xfId="2984" xr:uid="{00000000-0005-0000-0000-0000A80B0000}"/>
    <cellStyle name="Normal 4 31 2" xfId="2985" xr:uid="{00000000-0005-0000-0000-0000A90B0000}"/>
    <cellStyle name="Normal 4 32" xfId="2986" xr:uid="{00000000-0005-0000-0000-0000AA0B0000}"/>
    <cellStyle name="Normal 4 32 2" xfId="2987" xr:uid="{00000000-0005-0000-0000-0000AB0B0000}"/>
    <cellStyle name="Normal 4 33" xfId="2988" xr:uid="{00000000-0005-0000-0000-0000AC0B0000}"/>
    <cellStyle name="Normal 4 33 2" xfId="2989" xr:uid="{00000000-0005-0000-0000-0000AD0B0000}"/>
    <cellStyle name="Normal 4 34" xfId="2990" xr:uid="{00000000-0005-0000-0000-0000AE0B0000}"/>
    <cellStyle name="Normal 4 34 2" xfId="2991" xr:uid="{00000000-0005-0000-0000-0000AF0B0000}"/>
    <cellStyle name="Normal 4 35" xfId="2992" xr:uid="{00000000-0005-0000-0000-0000B00B0000}"/>
    <cellStyle name="Normal 4 4" xfId="2993" xr:uid="{00000000-0005-0000-0000-0000B10B0000}"/>
    <cellStyle name="Normal 4 4 2" xfId="2994" xr:uid="{00000000-0005-0000-0000-0000B20B0000}"/>
    <cellStyle name="Normal 4 5" xfId="2995" xr:uid="{00000000-0005-0000-0000-0000B30B0000}"/>
    <cellStyle name="Normal 4 5 2" xfId="2996" xr:uid="{00000000-0005-0000-0000-0000B40B0000}"/>
    <cellStyle name="Normal 4 6" xfId="2997" xr:uid="{00000000-0005-0000-0000-0000B50B0000}"/>
    <cellStyle name="Normal 4 6 2" xfId="2998" xr:uid="{00000000-0005-0000-0000-0000B60B0000}"/>
    <cellStyle name="Normal 4 7" xfId="2999" xr:uid="{00000000-0005-0000-0000-0000B70B0000}"/>
    <cellStyle name="Normal 4 7 2" xfId="3000" xr:uid="{00000000-0005-0000-0000-0000B80B0000}"/>
    <cellStyle name="Normal 4 8" xfId="3001" xr:uid="{00000000-0005-0000-0000-0000B90B0000}"/>
    <cellStyle name="Normal 4 8 2" xfId="3002" xr:uid="{00000000-0005-0000-0000-0000BA0B0000}"/>
    <cellStyle name="Normal 4 9" xfId="3003" xr:uid="{00000000-0005-0000-0000-0000BB0B0000}"/>
    <cellStyle name="Normal 4 9 2" xfId="3004" xr:uid="{00000000-0005-0000-0000-0000BC0B0000}"/>
    <cellStyle name="Normal 40" xfId="3005" xr:uid="{00000000-0005-0000-0000-0000BD0B0000}"/>
    <cellStyle name="Normal 40 2" xfId="3006" xr:uid="{00000000-0005-0000-0000-0000BE0B0000}"/>
    <cellStyle name="Normal 41" xfId="3007" xr:uid="{00000000-0005-0000-0000-0000BF0B0000}"/>
    <cellStyle name="Normal 41 2" xfId="3008" xr:uid="{00000000-0005-0000-0000-0000C00B0000}"/>
    <cellStyle name="Normal 42" xfId="3009" xr:uid="{00000000-0005-0000-0000-0000C10B0000}"/>
    <cellStyle name="Normal 42 10" xfId="3010" xr:uid="{00000000-0005-0000-0000-0000C20B0000}"/>
    <cellStyle name="Normal 42 10 2" xfId="3011" xr:uid="{00000000-0005-0000-0000-0000C30B0000}"/>
    <cellStyle name="Normal 42 11" xfId="3012" xr:uid="{00000000-0005-0000-0000-0000C40B0000}"/>
    <cellStyle name="Normal 42 11 2" xfId="3013" xr:uid="{00000000-0005-0000-0000-0000C50B0000}"/>
    <cellStyle name="Normal 42 12" xfId="3014" xr:uid="{00000000-0005-0000-0000-0000C60B0000}"/>
    <cellStyle name="Normal 42 2" xfId="3015" xr:uid="{00000000-0005-0000-0000-0000C70B0000}"/>
    <cellStyle name="Normal 42 2 2" xfId="3016" xr:uid="{00000000-0005-0000-0000-0000C80B0000}"/>
    <cellStyle name="Normal 42 3" xfId="3017" xr:uid="{00000000-0005-0000-0000-0000C90B0000}"/>
    <cellStyle name="Normal 42 3 2" xfId="3018" xr:uid="{00000000-0005-0000-0000-0000CA0B0000}"/>
    <cellStyle name="Normal 42 4" xfId="3019" xr:uid="{00000000-0005-0000-0000-0000CB0B0000}"/>
    <cellStyle name="Normal 42 4 2" xfId="3020" xr:uid="{00000000-0005-0000-0000-0000CC0B0000}"/>
    <cellStyle name="Normal 42 5" xfId="3021" xr:uid="{00000000-0005-0000-0000-0000CD0B0000}"/>
    <cellStyle name="Normal 42 5 2" xfId="3022" xr:uid="{00000000-0005-0000-0000-0000CE0B0000}"/>
    <cellStyle name="Normal 42 6" xfId="3023" xr:uid="{00000000-0005-0000-0000-0000CF0B0000}"/>
    <cellStyle name="Normal 42 6 2" xfId="3024" xr:uid="{00000000-0005-0000-0000-0000D00B0000}"/>
    <cellStyle name="Normal 42 7" xfId="3025" xr:uid="{00000000-0005-0000-0000-0000D10B0000}"/>
    <cellStyle name="Normal 42 7 2" xfId="3026" xr:uid="{00000000-0005-0000-0000-0000D20B0000}"/>
    <cellStyle name="Normal 42 8" xfId="3027" xr:uid="{00000000-0005-0000-0000-0000D30B0000}"/>
    <cellStyle name="Normal 42 8 2" xfId="3028" xr:uid="{00000000-0005-0000-0000-0000D40B0000}"/>
    <cellStyle name="Normal 42 9" xfId="3029" xr:uid="{00000000-0005-0000-0000-0000D50B0000}"/>
    <cellStyle name="Normal 42 9 2" xfId="3030" xr:uid="{00000000-0005-0000-0000-0000D60B0000}"/>
    <cellStyle name="Normal 43" xfId="3031" xr:uid="{00000000-0005-0000-0000-0000D70B0000}"/>
    <cellStyle name="Normal 43 2" xfId="3032" xr:uid="{00000000-0005-0000-0000-0000D80B0000}"/>
    <cellStyle name="Normal 44" xfId="3033" xr:uid="{00000000-0005-0000-0000-0000D90B0000}"/>
    <cellStyle name="Normal 44 10" xfId="3034" xr:uid="{00000000-0005-0000-0000-0000DA0B0000}"/>
    <cellStyle name="Normal 44 10 2" xfId="3035" xr:uid="{00000000-0005-0000-0000-0000DB0B0000}"/>
    <cellStyle name="Normal 44 11" xfId="3036" xr:uid="{00000000-0005-0000-0000-0000DC0B0000}"/>
    <cellStyle name="Normal 44 11 2" xfId="3037" xr:uid="{00000000-0005-0000-0000-0000DD0B0000}"/>
    <cellStyle name="Normal 44 12" xfId="3038" xr:uid="{00000000-0005-0000-0000-0000DE0B0000}"/>
    <cellStyle name="Normal 44 2" xfId="3039" xr:uid="{00000000-0005-0000-0000-0000DF0B0000}"/>
    <cellStyle name="Normal 44 2 2" xfId="3040" xr:uid="{00000000-0005-0000-0000-0000E00B0000}"/>
    <cellStyle name="Normal 44 3" xfId="3041" xr:uid="{00000000-0005-0000-0000-0000E10B0000}"/>
    <cellStyle name="Normal 44 3 2" xfId="3042" xr:uid="{00000000-0005-0000-0000-0000E20B0000}"/>
    <cellStyle name="Normal 44 4" xfId="3043" xr:uid="{00000000-0005-0000-0000-0000E30B0000}"/>
    <cellStyle name="Normal 44 4 2" xfId="3044" xr:uid="{00000000-0005-0000-0000-0000E40B0000}"/>
    <cellStyle name="Normal 44 5" xfId="3045" xr:uid="{00000000-0005-0000-0000-0000E50B0000}"/>
    <cellStyle name="Normal 44 5 2" xfId="3046" xr:uid="{00000000-0005-0000-0000-0000E60B0000}"/>
    <cellStyle name="Normal 44 6" xfId="3047" xr:uid="{00000000-0005-0000-0000-0000E70B0000}"/>
    <cellStyle name="Normal 44 6 2" xfId="3048" xr:uid="{00000000-0005-0000-0000-0000E80B0000}"/>
    <cellStyle name="Normal 44 7" xfId="3049" xr:uid="{00000000-0005-0000-0000-0000E90B0000}"/>
    <cellStyle name="Normal 44 7 2" xfId="3050" xr:uid="{00000000-0005-0000-0000-0000EA0B0000}"/>
    <cellStyle name="Normal 44 8" xfId="3051" xr:uid="{00000000-0005-0000-0000-0000EB0B0000}"/>
    <cellStyle name="Normal 44 8 2" xfId="3052" xr:uid="{00000000-0005-0000-0000-0000EC0B0000}"/>
    <cellStyle name="Normal 44 9" xfId="3053" xr:uid="{00000000-0005-0000-0000-0000ED0B0000}"/>
    <cellStyle name="Normal 44 9 2" xfId="3054" xr:uid="{00000000-0005-0000-0000-0000EE0B0000}"/>
    <cellStyle name="Normal 45" xfId="3055" xr:uid="{00000000-0005-0000-0000-0000EF0B0000}"/>
    <cellStyle name="Normal 45 2" xfId="3056" xr:uid="{00000000-0005-0000-0000-0000F00B0000}"/>
    <cellStyle name="Normal 46" xfId="3057" xr:uid="{00000000-0005-0000-0000-0000F10B0000}"/>
    <cellStyle name="Normal 46 2" xfId="3058" xr:uid="{00000000-0005-0000-0000-0000F20B0000}"/>
    <cellStyle name="Normal 47" xfId="3059" xr:uid="{00000000-0005-0000-0000-0000F30B0000}"/>
    <cellStyle name="Normal 47 2" xfId="3060" xr:uid="{00000000-0005-0000-0000-0000F40B0000}"/>
    <cellStyle name="Normal 48" xfId="3061" xr:uid="{00000000-0005-0000-0000-0000F50B0000}"/>
    <cellStyle name="Normal 48 2" xfId="3062" xr:uid="{00000000-0005-0000-0000-0000F60B0000}"/>
    <cellStyle name="Normal 49" xfId="3063" xr:uid="{00000000-0005-0000-0000-0000F70B0000}"/>
    <cellStyle name="Normal 49 2" xfId="3064" xr:uid="{00000000-0005-0000-0000-0000F80B0000}"/>
    <cellStyle name="Normal 5 10" xfId="3065" xr:uid="{00000000-0005-0000-0000-0000F90B0000}"/>
    <cellStyle name="Normal 5 10 2" xfId="3066" xr:uid="{00000000-0005-0000-0000-0000FA0B0000}"/>
    <cellStyle name="Normal 5 11" xfId="3067" xr:uid="{00000000-0005-0000-0000-0000FB0B0000}"/>
    <cellStyle name="Normal 5 11 2" xfId="3068" xr:uid="{00000000-0005-0000-0000-0000FC0B0000}"/>
    <cellStyle name="Normal 5 12" xfId="3069" xr:uid="{00000000-0005-0000-0000-0000FD0B0000}"/>
    <cellStyle name="Normal 5 12 2" xfId="3070" xr:uid="{00000000-0005-0000-0000-0000FE0B0000}"/>
    <cellStyle name="Normal 5 13" xfId="3071" xr:uid="{00000000-0005-0000-0000-0000FF0B0000}"/>
    <cellStyle name="Normal 5 13 2" xfId="3072" xr:uid="{00000000-0005-0000-0000-0000000C0000}"/>
    <cellStyle name="Normal 5 14" xfId="3073" xr:uid="{00000000-0005-0000-0000-0000010C0000}"/>
    <cellStyle name="Normal 5 14 2" xfId="3074" xr:uid="{00000000-0005-0000-0000-0000020C0000}"/>
    <cellStyle name="Normal 5 15" xfId="3075" xr:uid="{00000000-0005-0000-0000-0000030C0000}"/>
    <cellStyle name="Normal 5 15 2" xfId="3076" xr:uid="{00000000-0005-0000-0000-0000040C0000}"/>
    <cellStyle name="Normal 5 16" xfId="3077" xr:uid="{00000000-0005-0000-0000-0000050C0000}"/>
    <cellStyle name="Normal 5 16 2" xfId="3078" xr:uid="{00000000-0005-0000-0000-0000060C0000}"/>
    <cellStyle name="Normal 5 17" xfId="3079" xr:uid="{00000000-0005-0000-0000-0000070C0000}"/>
    <cellStyle name="Normal 5 17 2" xfId="3080" xr:uid="{00000000-0005-0000-0000-0000080C0000}"/>
    <cellStyle name="Normal 5 18" xfId="3081" xr:uid="{00000000-0005-0000-0000-0000090C0000}"/>
    <cellStyle name="Normal 5 18 2" xfId="3082" xr:uid="{00000000-0005-0000-0000-00000A0C0000}"/>
    <cellStyle name="Normal 5 19" xfId="3083" xr:uid="{00000000-0005-0000-0000-00000B0C0000}"/>
    <cellStyle name="Normal 5 19 2" xfId="3084" xr:uid="{00000000-0005-0000-0000-00000C0C0000}"/>
    <cellStyle name="Normal 5 2" xfId="3085" xr:uid="{00000000-0005-0000-0000-00000D0C0000}"/>
    <cellStyle name="Normal 5 2 2" xfId="3086" xr:uid="{00000000-0005-0000-0000-00000E0C0000}"/>
    <cellStyle name="Normal 5 20" xfId="3087" xr:uid="{00000000-0005-0000-0000-00000F0C0000}"/>
    <cellStyle name="Normal 5 20 2" xfId="3088" xr:uid="{00000000-0005-0000-0000-0000100C0000}"/>
    <cellStyle name="Normal 5 21" xfId="3089" xr:uid="{00000000-0005-0000-0000-0000110C0000}"/>
    <cellStyle name="Normal 5 21 2" xfId="3090" xr:uid="{00000000-0005-0000-0000-0000120C0000}"/>
    <cellStyle name="Normal 5 22" xfId="3091" xr:uid="{00000000-0005-0000-0000-0000130C0000}"/>
    <cellStyle name="Normal 5 22 2" xfId="3092" xr:uid="{00000000-0005-0000-0000-0000140C0000}"/>
    <cellStyle name="Normal 5 23" xfId="3093" xr:uid="{00000000-0005-0000-0000-0000150C0000}"/>
    <cellStyle name="Normal 5 23 2" xfId="3094" xr:uid="{00000000-0005-0000-0000-0000160C0000}"/>
    <cellStyle name="Normal 5 24" xfId="3095" xr:uid="{00000000-0005-0000-0000-0000170C0000}"/>
    <cellStyle name="Normal 5 24 2" xfId="3096" xr:uid="{00000000-0005-0000-0000-0000180C0000}"/>
    <cellStyle name="Normal 5 25" xfId="3097" xr:uid="{00000000-0005-0000-0000-0000190C0000}"/>
    <cellStyle name="Normal 5 25 2" xfId="3098" xr:uid="{00000000-0005-0000-0000-00001A0C0000}"/>
    <cellStyle name="Normal 5 26" xfId="3099" xr:uid="{00000000-0005-0000-0000-00001B0C0000}"/>
    <cellStyle name="Normal 5 26 2" xfId="3100" xr:uid="{00000000-0005-0000-0000-00001C0C0000}"/>
    <cellStyle name="Normal 5 27" xfId="3101" xr:uid="{00000000-0005-0000-0000-00001D0C0000}"/>
    <cellStyle name="Normal 5 27 2" xfId="3102" xr:uid="{00000000-0005-0000-0000-00001E0C0000}"/>
    <cellStyle name="Normal 5 28" xfId="3103" xr:uid="{00000000-0005-0000-0000-00001F0C0000}"/>
    <cellStyle name="Normal 5 28 2" xfId="3104" xr:uid="{00000000-0005-0000-0000-0000200C0000}"/>
    <cellStyle name="Normal 5 29" xfId="3105" xr:uid="{00000000-0005-0000-0000-0000210C0000}"/>
    <cellStyle name="Normal 5 29 2" xfId="3106" xr:uid="{00000000-0005-0000-0000-0000220C0000}"/>
    <cellStyle name="Normal 5 3" xfId="3107" xr:uid="{00000000-0005-0000-0000-0000230C0000}"/>
    <cellStyle name="Normal 5 3 2" xfId="3108" xr:uid="{00000000-0005-0000-0000-0000240C0000}"/>
    <cellStyle name="Normal 5 30" xfId="3109" xr:uid="{00000000-0005-0000-0000-0000250C0000}"/>
    <cellStyle name="Normal 5 30 2" xfId="3110" xr:uid="{00000000-0005-0000-0000-0000260C0000}"/>
    <cellStyle name="Normal 5 31" xfId="3111" xr:uid="{00000000-0005-0000-0000-0000270C0000}"/>
    <cellStyle name="Normal 5 31 2" xfId="3112" xr:uid="{00000000-0005-0000-0000-0000280C0000}"/>
    <cellStyle name="Normal 5 32" xfId="3113" xr:uid="{00000000-0005-0000-0000-0000290C0000}"/>
    <cellStyle name="Normal 5 32 2" xfId="3114" xr:uid="{00000000-0005-0000-0000-00002A0C0000}"/>
    <cellStyle name="Normal 5 33" xfId="3115" xr:uid="{00000000-0005-0000-0000-00002B0C0000}"/>
    <cellStyle name="Normal 5 33 2" xfId="3116" xr:uid="{00000000-0005-0000-0000-00002C0C0000}"/>
    <cellStyle name="Normal 5 34" xfId="3117" xr:uid="{00000000-0005-0000-0000-00002D0C0000}"/>
    <cellStyle name="Normal 5 34 2" xfId="3118" xr:uid="{00000000-0005-0000-0000-00002E0C0000}"/>
    <cellStyle name="Normal 5 4" xfId="3119" xr:uid="{00000000-0005-0000-0000-00002F0C0000}"/>
    <cellStyle name="Normal 5 4 2" xfId="3120" xr:uid="{00000000-0005-0000-0000-0000300C0000}"/>
    <cellStyle name="Normal 5 5" xfId="3121" xr:uid="{00000000-0005-0000-0000-0000310C0000}"/>
    <cellStyle name="Normal 5 5 2" xfId="3122" xr:uid="{00000000-0005-0000-0000-0000320C0000}"/>
    <cellStyle name="Normal 5 6" xfId="3123" xr:uid="{00000000-0005-0000-0000-0000330C0000}"/>
    <cellStyle name="Normal 5 6 2" xfId="3124" xr:uid="{00000000-0005-0000-0000-0000340C0000}"/>
    <cellStyle name="Normal 5 7" xfId="3125" xr:uid="{00000000-0005-0000-0000-0000350C0000}"/>
    <cellStyle name="Normal 5 7 2" xfId="3126" xr:uid="{00000000-0005-0000-0000-0000360C0000}"/>
    <cellStyle name="Normal 5 8" xfId="3127" xr:uid="{00000000-0005-0000-0000-0000370C0000}"/>
    <cellStyle name="Normal 5 8 2" xfId="3128" xr:uid="{00000000-0005-0000-0000-0000380C0000}"/>
    <cellStyle name="Normal 5 9" xfId="3129" xr:uid="{00000000-0005-0000-0000-0000390C0000}"/>
    <cellStyle name="Normal 5 9 2" xfId="3130" xr:uid="{00000000-0005-0000-0000-00003A0C0000}"/>
    <cellStyle name="Normal 50" xfId="3131" xr:uid="{00000000-0005-0000-0000-00003B0C0000}"/>
    <cellStyle name="Normal 50 2" xfId="3132" xr:uid="{00000000-0005-0000-0000-00003C0C0000}"/>
    <cellStyle name="Normal 51" xfId="3133" xr:uid="{00000000-0005-0000-0000-00003D0C0000}"/>
    <cellStyle name="Normal 51 2" xfId="3134" xr:uid="{00000000-0005-0000-0000-00003E0C0000}"/>
    <cellStyle name="Normal 52" xfId="3135" xr:uid="{00000000-0005-0000-0000-00003F0C0000}"/>
    <cellStyle name="Normal 52 2" xfId="3136" xr:uid="{00000000-0005-0000-0000-0000400C0000}"/>
    <cellStyle name="Normal 53" xfId="3137" xr:uid="{00000000-0005-0000-0000-0000410C0000}"/>
    <cellStyle name="Normal 53 2" xfId="3138" xr:uid="{00000000-0005-0000-0000-0000420C0000}"/>
    <cellStyle name="Normal 57" xfId="3139" xr:uid="{00000000-0005-0000-0000-0000430C0000}"/>
    <cellStyle name="Normal 57 2" xfId="3140" xr:uid="{00000000-0005-0000-0000-0000440C0000}"/>
    <cellStyle name="Normal 58" xfId="3141" xr:uid="{00000000-0005-0000-0000-0000450C0000}"/>
    <cellStyle name="Normal 58 2" xfId="3142" xr:uid="{00000000-0005-0000-0000-0000460C0000}"/>
    <cellStyle name="Normal 59" xfId="3143" xr:uid="{00000000-0005-0000-0000-0000470C0000}"/>
    <cellStyle name="Normal 59 2" xfId="3144" xr:uid="{00000000-0005-0000-0000-0000480C0000}"/>
    <cellStyle name="Normal 6 10" xfId="3145" xr:uid="{00000000-0005-0000-0000-0000490C0000}"/>
    <cellStyle name="Normal 6 10 2" xfId="3146" xr:uid="{00000000-0005-0000-0000-00004A0C0000}"/>
    <cellStyle name="Normal 6 11" xfId="3147" xr:uid="{00000000-0005-0000-0000-00004B0C0000}"/>
    <cellStyle name="Normal 6 11 2" xfId="3148" xr:uid="{00000000-0005-0000-0000-00004C0C0000}"/>
    <cellStyle name="Normal 6 12" xfId="3149" xr:uid="{00000000-0005-0000-0000-00004D0C0000}"/>
    <cellStyle name="Normal 6 12 2" xfId="3150" xr:uid="{00000000-0005-0000-0000-00004E0C0000}"/>
    <cellStyle name="Normal 6 13" xfId="3151" xr:uid="{00000000-0005-0000-0000-00004F0C0000}"/>
    <cellStyle name="Normal 6 13 2" xfId="3152" xr:uid="{00000000-0005-0000-0000-0000500C0000}"/>
    <cellStyle name="Normal 6 14" xfId="3153" xr:uid="{00000000-0005-0000-0000-0000510C0000}"/>
    <cellStyle name="Normal 6 14 2" xfId="3154" xr:uid="{00000000-0005-0000-0000-0000520C0000}"/>
    <cellStyle name="Normal 6 15" xfId="3155" xr:uid="{00000000-0005-0000-0000-0000530C0000}"/>
    <cellStyle name="Normal 6 15 2" xfId="3156" xr:uid="{00000000-0005-0000-0000-0000540C0000}"/>
    <cellStyle name="Normal 6 16" xfId="3157" xr:uid="{00000000-0005-0000-0000-0000550C0000}"/>
    <cellStyle name="Normal 6 16 2" xfId="3158" xr:uid="{00000000-0005-0000-0000-0000560C0000}"/>
    <cellStyle name="Normal 6 17" xfId="3159" xr:uid="{00000000-0005-0000-0000-0000570C0000}"/>
    <cellStyle name="Normal 6 17 2" xfId="3160" xr:uid="{00000000-0005-0000-0000-0000580C0000}"/>
    <cellStyle name="Normal 6 18" xfId="3161" xr:uid="{00000000-0005-0000-0000-0000590C0000}"/>
    <cellStyle name="Normal 6 18 2" xfId="3162" xr:uid="{00000000-0005-0000-0000-00005A0C0000}"/>
    <cellStyle name="Normal 6 19" xfId="3163" xr:uid="{00000000-0005-0000-0000-00005B0C0000}"/>
    <cellStyle name="Normal 6 19 2" xfId="3164" xr:uid="{00000000-0005-0000-0000-00005C0C0000}"/>
    <cellStyle name="Normal 6 2" xfId="3165" xr:uid="{00000000-0005-0000-0000-00005D0C0000}"/>
    <cellStyle name="Normal 6 2 2" xfId="3166" xr:uid="{00000000-0005-0000-0000-00005E0C0000}"/>
    <cellStyle name="Normal 6 20" xfId="3167" xr:uid="{00000000-0005-0000-0000-00005F0C0000}"/>
    <cellStyle name="Normal 6 20 2" xfId="3168" xr:uid="{00000000-0005-0000-0000-0000600C0000}"/>
    <cellStyle name="Normal 6 21" xfId="3169" xr:uid="{00000000-0005-0000-0000-0000610C0000}"/>
    <cellStyle name="Normal 6 21 2" xfId="3170" xr:uid="{00000000-0005-0000-0000-0000620C0000}"/>
    <cellStyle name="Normal 6 22" xfId="3171" xr:uid="{00000000-0005-0000-0000-0000630C0000}"/>
    <cellStyle name="Normal 6 22 2" xfId="3172" xr:uid="{00000000-0005-0000-0000-0000640C0000}"/>
    <cellStyle name="Normal 6 23" xfId="3173" xr:uid="{00000000-0005-0000-0000-0000650C0000}"/>
    <cellStyle name="Normal 6 23 2" xfId="3174" xr:uid="{00000000-0005-0000-0000-0000660C0000}"/>
    <cellStyle name="Normal 6 24" xfId="3175" xr:uid="{00000000-0005-0000-0000-0000670C0000}"/>
    <cellStyle name="Normal 6 24 2" xfId="3176" xr:uid="{00000000-0005-0000-0000-0000680C0000}"/>
    <cellStyle name="Normal 6 25" xfId="3177" xr:uid="{00000000-0005-0000-0000-0000690C0000}"/>
    <cellStyle name="Normal 6 25 2" xfId="3178" xr:uid="{00000000-0005-0000-0000-00006A0C0000}"/>
    <cellStyle name="Normal 6 26" xfId="3179" xr:uid="{00000000-0005-0000-0000-00006B0C0000}"/>
    <cellStyle name="Normal 6 26 2" xfId="3180" xr:uid="{00000000-0005-0000-0000-00006C0C0000}"/>
    <cellStyle name="Normal 6 27" xfId="3181" xr:uid="{00000000-0005-0000-0000-00006D0C0000}"/>
    <cellStyle name="Normal 6 27 2" xfId="3182" xr:uid="{00000000-0005-0000-0000-00006E0C0000}"/>
    <cellStyle name="Normal 6 28" xfId="3183" xr:uid="{00000000-0005-0000-0000-00006F0C0000}"/>
    <cellStyle name="Normal 6 28 2" xfId="3184" xr:uid="{00000000-0005-0000-0000-0000700C0000}"/>
    <cellStyle name="Normal 6 29" xfId="3185" xr:uid="{00000000-0005-0000-0000-0000710C0000}"/>
    <cellStyle name="Normal 6 29 2" xfId="3186" xr:uid="{00000000-0005-0000-0000-0000720C0000}"/>
    <cellStyle name="Normal 6 3" xfId="3187" xr:uid="{00000000-0005-0000-0000-0000730C0000}"/>
    <cellStyle name="Normal 6 3 2" xfId="3188" xr:uid="{00000000-0005-0000-0000-0000740C0000}"/>
    <cellStyle name="Normal 6 30" xfId="3189" xr:uid="{00000000-0005-0000-0000-0000750C0000}"/>
    <cellStyle name="Normal 6 30 2" xfId="3190" xr:uid="{00000000-0005-0000-0000-0000760C0000}"/>
    <cellStyle name="Normal 6 31" xfId="3191" xr:uid="{00000000-0005-0000-0000-0000770C0000}"/>
    <cellStyle name="Normal 6 31 2" xfId="3192" xr:uid="{00000000-0005-0000-0000-0000780C0000}"/>
    <cellStyle name="Normal 6 32" xfId="3193" xr:uid="{00000000-0005-0000-0000-0000790C0000}"/>
    <cellStyle name="Normal 6 32 2" xfId="3194" xr:uid="{00000000-0005-0000-0000-00007A0C0000}"/>
    <cellStyle name="Normal 6 33" xfId="3195" xr:uid="{00000000-0005-0000-0000-00007B0C0000}"/>
    <cellStyle name="Normal 6 33 2" xfId="3196" xr:uid="{00000000-0005-0000-0000-00007C0C0000}"/>
    <cellStyle name="Normal 6 34" xfId="3197" xr:uid="{00000000-0005-0000-0000-00007D0C0000}"/>
    <cellStyle name="Normal 6 34 2" xfId="3198" xr:uid="{00000000-0005-0000-0000-00007E0C0000}"/>
    <cellStyle name="Normal 6 4" xfId="3199" xr:uid="{00000000-0005-0000-0000-00007F0C0000}"/>
    <cellStyle name="Normal 6 4 2" xfId="3200" xr:uid="{00000000-0005-0000-0000-0000800C0000}"/>
    <cellStyle name="Normal 6 5" xfId="3201" xr:uid="{00000000-0005-0000-0000-0000810C0000}"/>
    <cellStyle name="Normal 6 5 2" xfId="3202" xr:uid="{00000000-0005-0000-0000-0000820C0000}"/>
    <cellStyle name="Normal 6 6" xfId="3203" xr:uid="{00000000-0005-0000-0000-0000830C0000}"/>
    <cellStyle name="Normal 6 6 2" xfId="3204" xr:uid="{00000000-0005-0000-0000-0000840C0000}"/>
    <cellStyle name="Normal 6 7" xfId="3205" xr:uid="{00000000-0005-0000-0000-0000850C0000}"/>
    <cellStyle name="Normal 6 7 2" xfId="3206" xr:uid="{00000000-0005-0000-0000-0000860C0000}"/>
    <cellStyle name="Normal 6 8" xfId="3207" xr:uid="{00000000-0005-0000-0000-0000870C0000}"/>
    <cellStyle name="Normal 6 8 2" xfId="3208" xr:uid="{00000000-0005-0000-0000-0000880C0000}"/>
    <cellStyle name="Normal 6 9" xfId="3209" xr:uid="{00000000-0005-0000-0000-0000890C0000}"/>
    <cellStyle name="Normal 6 9 2" xfId="3210" xr:uid="{00000000-0005-0000-0000-00008A0C0000}"/>
    <cellStyle name="Normal 60" xfId="3211" xr:uid="{00000000-0005-0000-0000-00008B0C0000}"/>
    <cellStyle name="Normal 60 2" xfId="3212" xr:uid="{00000000-0005-0000-0000-00008C0C0000}"/>
    <cellStyle name="Normal 7 10" xfId="3213" xr:uid="{00000000-0005-0000-0000-00008D0C0000}"/>
    <cellStyle name="Normal 7 10 2" xfId="3214" xr:uid="{00000000-0005-0000-0000-00008E0C0000}"/>
    <cellStyle name="Normal 7 11" xfId="3215" xr:uid="{00000000-0005-0000-0000-00008F0C0000}"/>
    <cellStyle name="Normal 7 11 2" xfId="3216" xr:uid="{00000000-0005-0000-0000-0000900C0000}"/>
    <cellStyle name="Normal 7 12" xfId="3217" xr:uid="{00000000-0005-0000-0000-0000910C0000}"/>
    <cellStyle name="Normal 7 12 2" xfId="3218" xr:uid="{00000000-0005-0000-0000-0000920C0000}"/>
    <cellStyle name="Normal 7 13" xfId="3219" xr:uid="{00000000-0005-0000-0000-0000930C0000}"/>
    <cellStyle name="Normal 7 13 2" xfId="3220" xr:uid="{00000000-0005-0000-0000-0000940C0000}"/>
    <cellStyle name="Normal 7 14" xfId="3221" xr:uid="{00000000-0005-0000-0000-0000950C0000}"/>
    <cellStyle name="Normal 7 14 2" xfId="3222" xr:uid="{00000000-0005-0000-0000-0000960C0000}"/>
    <cellStyle name="Normal 7 15" xfId="3223" xr:uid="{00000000-0005-0000-0000-0000970C0000}"/>
    <cellStyle name="Normal 7 15 2" xfId="3224" xr:uid="{00000000-0005-0000-0000-0000980C0000}"/>
    <cellStyle name="Normal 7 16" xfId="3225" xr:uid="{00000000-0005-0000-0000-0000990C0000}"/>
    <cellStyle name="Normal 7 16 2" xfId="3226" xr:uid="{00000000-0005-0000-0000-00009A0C0000}"/>
    <cellStyle name="Normal 7 17" xfId="3227" xr:uid="{00000000-0005-0000-0000-00009B0C0000}"/>
    <cellStyle name="Normal 7 17 2" xfId="3228" xr:uid="{00000000-0005-0000-0000-00009C0C0000}"/>
    <cellStyle name="Normal 7 18" xfId="3229" xr:uid="{00000000-0005-0000-0000-00009D0C0000}"/>
    <cellStyle name="Normal 7 18 2" xfId="3230" xr:uid="{00000000-0005-0000-0000-00009E0C0000}"/>
    <cellStyle name="Normal 7 19" xfId="3231" xr:uid="{00000000-0005-0000-0000-00009F0C0000}"/>
    <cellStyle name="Normal 7 19 2" xfId="3232" xr:uid="{00000000-0005-0000-0000-0000A00C0000}"/>
    <cellStyle name="Normal 7 2" xfId="3233" xr:uid="{00000000-0005-0000-0000-0000A10C0000}"/>
    <cellStyle name="Normal 7 2 2" xfId="3234" xr:uid="{00000000-0005-0000-0000-0000A20C0000}"/>
    <cellStyle name="Normal 7 20" xfId="3235" xr:uid="{00000000-0005-0000-0000-0000A30C0000}"/>
    <cellStyle name="Normal 7 20 2" xfId="3236" xr:uid="{00000000-0005-0000-0000-0000A40C0000}"/>
    <cellStyle name="Normal 7 21" xfId="3237" xr:uid="{00000000-0005-0000-0000-0000A50C0000}"/>
    <cellStyle name="Normal 7 21 2" xfId="3238" xr:uid="{00000000-0005-0000-0000-0000A60C0000}"/>
    <cellStyle name="Normal 7 22" xfId="3239" xr:uid="{00000000-0005-0000-0000-0000A70C0000}"/>
    <cellStyle name="Normal 7 22 2" xfId="3240" xr:uid="{00000000-0005-0000-0000-0000A80C0000}"/>
    <cellStyle name="Normal 7 23" xfId="3241" xr:uid="{00000000-0005-0000-0000-0000A90C0000}"/>
    <cellStyle name="Normal 7 23 2" xfId="3242" xr:uid="{00000000-0005-0000-0000-0000AA0C0000}"/>
    <cellStyle name="Normal 7 24" xfId="3243" xr:uid="{00000000-0005-0000-0000-0000AB0C0000}"/>
    <cellStyle name="Normal 7 24 2" xfId="3244" xr:uid="{00000000-0005-0000-0000-0000AC0C0000}"/>
    <cellStyle name="Normal 7 3" xfId="3245" xr:uid="{00000000-0005-0000-0000-0000AD0C0000}"/>
    <cellStyle name="Normal 7 3 2" xfId="3246" xr:uid="{00000000-0005-0000-0000-0000AE0C0000}"/>
    <cellStyle name="Normal 7 4" xfId="3247" xr:uid="{00000000-0005-0000-0000-0000AF0C0000}"/>
    <cellStyle name="Normal 7 4 2" xfId="3248" xr:uid="{00000000-0005-0000-0000-0000B00C0000}"/>
    <cellStyle name="Normal 7 5" xfId="3249" xr:uid="{00000000-0005-0000-0000-0000B10C0000}"/>
    <cellStyle name="Normal 7 5 2" xfId="3250" xr:uid="{00000000-0005-0000-0000-0000B20C0000}"/>
    <cellStyle name="Normal 7 6" xfId="3251" xr:uid="{00000000-0005-0000-0000-0000B30C0000}"/>
    <cellStyle name="Normal 7 6 2" xfId="3252" xr:uid="{00000000-0005-0000-0000-0000B40C0000}"/>
    <cellStyle name="Normal 7 7" xfId="3253" xr:uid="{00000000-0005-0000-0000-0000B50C0000}"/>
    <cellStyle name="Normal 7 7 2" xfId="3254" xr:uid="{00000000-0005-0000-0000-0000B60C0000}"/>
    <cellStyle name="Normal 7 8" xfId="3255" xr:uid="{00000000-0005-0000-0000-0000B70C0000}"/>
    <cellStyle name="Normal 7 8 2" xfId="3256" xr:uid="{00000000-0005-0000-0000-0000B80C0000}"/>
    <cellStyle name="Normal 7 9" xfId="3257" xr:uid="{00000000-0005-0000-0000-0000B90C0000}"/>
    <cellStyle name="Normal 7 9 2" xfId="3258" xr:uid="{00000000-0005-0000-0000-0000BA0C0000}"/>
    <cellStyle name="Normal 8" xfId="3259" xr:uid="{00000000-0005-0000-0000-0000BB0C0000}"/>
    <cellStyle name="Normal 8 2" xfId="3260" xr:uid="{00000000-0005-0000-0000-0000BC0C0000}"/>
    <cellStyle name="Normal 8 2 2" xfId="3261" xr:uid="{00000000-0005-0000-0000-0000BD0C0000}"/>
    <cellStyle name="Normal 8 3" xfId="3262" xr:uid="{00000000-0005-0000-0000-0000BE0C0000}"/>
    <cellStyle name="Normal 8 3 2" xfId="3263" xr:uid="{00000000-0005-0000-0000-0000BF0C0000}"/>
    <cellStyle name="Normal 8 4" xfId="3264" xr:uid="{00000000-0005-0000-0000-0000C00C0000}"/>
    <cellStyle name="Normal 9" xfId="3265" xr:uid="{00000000-0005-0000-0000-0000C10C0000}"/>
    <cellStyle name="Normal 9 2" xfId="3266" xr:uid="{00000000-0005-0000-0000-0000C20C0000}"/>
    <cellStyle name="Note 10" xfId="3267" xr:uid="{00000000-0005-0000-0000-0000C30C0000}"/>
    <cellStyle name="Note 10 2" xfId="3268" xr:uid="{00000000-0005-0000-0000-0000C40C0000}"/>
    <cellStyle name="Note 11" xfId="3269" xr:uid="{00000000-0005-0000-0000-0000C50C0000}"/>
    <cellStyle name="Note 11 2" xfId="3270" xr:uid="{00000000-0005-0000-0000-0000C60C0000}"/>
    <cellStyle name="Note 12" xfId="3271" xr:uid="{00000000-0005-0000-0000-0000C70C0000}"/>
    <cellStyle name="Note 12 2" xfId="3272" xr:uid="{00000000-0005-0000-0000-0000C80C0000}"/>
    <cellStyle name="Note 13" xfId="3273" xr:uid="{00000000-0005-0000-0000-0000C90C0000}"/>
    <cellStyle name="Note 13 2" xfId="3274" xr:uid="{00000000-0005-0000-0000-0000CA0C0000}"/>
    <cellStyle name="Note 14" xfId="3275" xr:uid="{00000000-0005-0000-0000-0000CB0C0000}"/>
    <cellStyle name="Note 14 2" xfId="3276" xr:uid="{00000000-0005-0000-0000-0000CC0C0000}"/>
    <cellStyle name="Note 15" xfId="3277" xr:uid="{00000000-0005-0000-0000-0000CD0C0000}"/>
    <cellStyle name="Note 15 2" xfId="3278" xr:uid="{00000000-0005-0000-0000-0000CE0C0000}"/>
    <cellStyle name="Note 16" xfId="3279" xr:uid="{00000000-0005-0000-0000-0000CF0C0000}"/>
    <cellStyle name="Note 16 2" xfId="3280" xr:uid="{00000000-0005-0000-0000-0000D00C0000}"/>
    <cellStyle name="Note 17" xfId="3281" xr:uid="{00000000-0005-0000-0000-0000D10C0000}"/>
    <cellStyle name="Note 17 2" xfId="3282" xr:uid="{00000000-0005-0000-0000-0000D20C0000}"/>
    <cellStyle name="Note 18" xfId="3283" xr:uid="{00000000-0005-0000-0000-0000D30C0000}"/>
    <cellStyle name="Note 18 2" xfId="3284" xr:uid="{00000000-0005-0000-0000-0000D40C0000}"/>
    <cellStyle name="Note 19" xfId="3285" xr:uid="{00000000-0005-0000-0000-0000D50C0000}"/>
    <cellStyle name="Note 19 2" xfId="3286" xr:uid="{00000000-0005-0000-0000-0000D60C0000}"/>
    <cellStyle name="Note 2" xfId="3287" xr:uid="{00000000-0005-0000-0000-0000D70C0000}"/>
    <cellStyle name="Note 2 2" xfId="3288" xr:uid="{00000000-0005-0000-0000-0000D80C0000}"/>
    <cellStyle name="Note 20" xfId="3289" xr:uid="{00000000-0005-0000-0000-0000D90C0000}"/>
    <cellStyle name="Note 20 2" xfId="3290" xr:uid="{00000000-0005-0000-0000-0000DA0C0000}"/>
    <cellStyle name="Note 21" xfId="3291" xr:uid="{00000000-0005-0000-0000-0000DB0C0000}"/>
    <cellStyle name="Note 21 2" xfId="3292" xr:uid="{00000000-0005-0000-0000-0000DC0C0000}"/>
    <cellStyle name="Note 22" xfId="3293" xr:uid="{00000000-0005-0000-0000-0000DD0C0000}"/>
    <cellStyle name="Note 22 2" xfId="3294" xr:uid="{00000000-0005-0000-0000-0000DE0C0000}"/>
    <cellStyle name="Note 3" xfId="3295" xr:uid="{00000000-0005-0000-0000-0000DF0C0000}"/>
    <cellStyle name="Note 3 2" xfId="3296" xr:uid="{00000000-0005-0000-0000-0000E00C0000}"/>
    <cellStyle name="Note 4" xfId="3297" xr:uid="{00000000-0005-0000-0000-0000E10C0000}"/>
    <cellStyle name="Note 4 2" xfId="3298" xr:uid="{00000000-0005-0000-0000-0000E20C0000}"/>
    <cellStyle name="Note 5" xfId="3299" xr:uid="{00000000-0005-0000-0000-0000E30C0000}"/>
    <cellStyle name="Note 5 2" xfId="3300" xr:uid="{00000000-0005-0000-0000-0000E40C0000}"/>
    <cellStyle name="Note 6" xfId="3301" xr:uid="{00000000-0005-0000-0000-0000E50C0000}"/>
    <cellStyle name="Note 6 2" xfId="3302" xr:uid="{00000000-0005-0000-0000-0000E60C0000}"/>
    <cellStyle name="Note 7" xfId="3303" xr:uid="{00000000-0005-0000-0000-0000E70C0000}"/>
    <cellStyle name="Note 7 2" xfId="3304" xr:uid="{00000000-0005-0000-0000-0000E80C0000}"/>
    <cellStyle name="Note 8" xfId="3305" xr:uid="{00000000-0005-0000-0000-0000E90C0000}"/>
    <cellStyle name="Note 8 2" xfId="3306" xr:uid="{00000000-0005-0000-0000-0000EA0C0000}"/>
    <cellStyle name="Note 9" xfId="3307" xr:uid="{00000000-0005-0000-0000-0000EB0C0000}"/>
    <cellStyle name="Note 9 2" xfId="3308" xr:uid="{00000000-0005-0000-0000-0000EC0C0000}"/>
    <cellStyle name="Output 10" xfId="3309" xr:uid="{00000000-0005-0000-0000-0000ED0C0000}"/>
    <cellStyle name="Output 11" xfId="3310" xr:uid="{00000000-0005-0000-0000-0000EE0C0000}"/>
    <cellStyle name="Output 12" xfId="3311" xr:uid="{00000000-0005-0000-0000-0000EF0C0000}"/>
    <cellStyle name="Output 13" xfId="3312" xr:uid="{00000000-0005-0000-0000-0000F00C0000}"/>
    <cellStyle name="Output 14" xfId="3313" xr:uid="{00000000-0005-0000-0000-0000F10C0000}"/>
    <cellStyle name="Output 15" xfId="3314" xr:uid="{00000000-0005-0000-0000-0000F20C0000}"/>
    <cellStyle name="Output 16" xfId="3315" xr:uid="{00000000-0005-0000-0000-0000F30C0000}"/>
    <cellStyle name="Output 17" xfId="3316" xr:uid="{00000000-0005-0000-0000-0000F40C0000}"/>
    <cellStyle name="Output 18" xfId="3317" xr:uid="{00000000-0005-0000-0000-0000F50C0000}"/>
    <cellStyle name="Output 19" xfId="3318" xr:uid="{00000000-0005-0000-0000-0000F60C0000}"/>
    <cellStyle name="Output 2" xfId="3319" xr:uid="{00000000-0005-0000-0000-0000F70C0000}"/>
    <cellStyle name="Output 2 2" xfId="3320" xr:uid="{00000000-0005-0000-0000-0000F80C0000}"/>
    <cellStyle name="Output 2 2 2" xfId="3321" xr:uid="{00000000-0005-0000-0000-0000F90C0000}"/>
    <cellStyle name="Output 2 3" xfId="3322" xr:uid="{00000000-0005-0000-0000-0000FA0C0000}"/>
    <cellStyle name="Output 2 3 2" xfId="3323" xr:uid="{00000000-0005-0000-0000-0000FB0C0000}"/>
    <cellStyle name="Output 2 4" xfId="3324" xr:uid="{00000000-0005-0000-0000-0000FC0C0000}"/>
    <cellStyle name="Output 2 4 2" xfId="3325" xr:uid="{00000000-0005-0000-0000-0000FD0C0000}"/>
    <cellStyle name="Output 2 5" xfId="3326" xr:uid="{00000000-0005-0000-0000-0000FE0C0000}"/>
    <cellStyle name="Output 2 5 2" xfId="3327" xr:uid="{00000000-0005-0000-0000-0000FF0C0000}"/>
    <cellStyle name="Output 2 6" xfId="3328" xr:uid="{00000000-0005-0000-0000-0000000D0000}"/>
    <cellStyle name="Output 20" xfId="3329" xr:uid="{00000000-0005-0000-0000-0000010D0000}"/>
    <cellStyle name="Output 21" xfId="3330" xr:uid="{00000000-0005-0000-0000-0000020D0000}"/>
    <cellStyle name="Output 22" xfId="3331" xr:uid="{00000000-0005-0000-0000-0000030D0000}"/>
    <cellStyle name="Output 3" xfId="3332" xr:uid="{00000000-0005-0000-0000-0000040D0000}"/>
    <cellStyle name="Output 3 2" xfId="3333" xr:uid="{00000000-0005-0000-0000-0000050D0000}"/>
    <cellStyle name="Output 3 2 2" xfId="3334" xr:uid="{00000000-0005-0000-0000-0000060D0000}"/>
    <cellStyle name="Output 3 3" xfId="3335" xr:uid="{00000000-0005-0000-0000-0000070D0000}"/>
    <cellStyle name="Output 3 3 2" xfId="3336" xr:uid="{00000000-0005-0000-0000-0000080D0000}"/>
    <cellStyle name="Output 3 4" xfId="3337" xr:uid="{00000000-0005-0000-0000-0000090D0000}"/>
    <cellStyle name="Output 3 4 2" xfId="3338" xr:uid="{00000000-0005-0000-0000-00000A0D0000}"/>
    <cellStyle name="Output 3 5" xfId="3339" xr:uid="{00000000-0005-0000-0000-00000B0D0000}"/>
    <cellStyle name="Output 3 5 2" xfId="3340" xr:uid="{00000000-0005-0000-0000-00000C0D0000}"/>
    <cellStyle name="Output 3 6" xfId="3341" xr:uid="{00000000-0005-0000-0000-00000D0D0000}"/>
    <cellStyle name="Output 4" xfId="3342" xr:uid="{00000000-0005-0000-0000-00000E0D0000}"/>
    <cellStyle name="Output 4 2" xfId="3343" xr:uid="{00000000-0005-0000-0000-00000F0D0000}"/>
    <cellStyle name="Output 4 2 2" xfId="3344" xr:uid="{00000000-0005-0000-0000-0000100D0000}"/>
    <cellStyle name="Output 4 3" xfId="3345" xr:uid="{00000000-0005-0000-0000-0000110D0000}"/>
    <cellStyle name="Output 4 3 2" xfId="3346" xr:uid="{00000000-0005-0000-0000-0000120D0000}"/>
    <cellStyle name="Output 4 4" xfId="3347" xr:uid="{00000000-0005-0000-0000-0000130D0000}"/>
    <cellStyle name="Output 4 4 2" xfId="3348" xr:uid="{00000000-0005-0000-0000-0000140D0000}"/>
    <cellStyle name="Output 4 5" xfId="3349" xr:uid="{00000000-0005-0000-0000-0000150D0000}"/>
    <cellStyle name="Output 4 5 2" xfId="3350" xr:uid="{00000000-0005-0000-0000-0000160D0000}"/>
    <cellStyle name="Output 4 6" xfId="3351" xr:uid="{00000000-0005-0000-0000-0000170D0000}"/>
    <cellStyle name="Output 5" xfId="3352" xr:uid="{00000000-0005-0000-0000-0000180D0000}"/>
    <cellStyle name="Output 5 2" xfId="3353" xr:uid="{00000000-0005-0000-0000-0000190D0000}"/>
    <cellStyle name="Output 5 2 2" xfId="3354" xr:uid="{00000000-0005-0000-0000-00001A0D0000}"/>
    <cellStyle name="Output 5 3" xfId="3355" xr:uid="{00000000-0005-0000-0000-00001B0D0000}"/>
    <cellStyle name="Output 5 3 2" xfId="3356" xr:uid="{00000000-0005-0000-0000-00001C0D0000}"/>
    <cellStyle name="Output 5 4" xfId="3357" xr:uid="{00000000-0005-0000-0000-00001D0D0000}"/>
    <cellStyle name="Output 5 4 2" xfId="3358" xr:uid="{00000000-0005-0000-0000-00001E0D0000}"/>
    <cellStyle name="Output 5 5" xfId="3359" xr:uid="{00000000-0005-0000-0000-00001F0D0000}"/>
    <cellStyle name="Output 5 5 2" xfId="3360" xr:uid="{00000000-0005-0000-0000-0000200D0000}"/>
    <cellStyle name="Output 5 6" xfId="3361" xr:uid="{00000000-0005-0000-0000-0000210D0000}"/>
    <cellStyle name="Output 6" xfId="3362" xr:uid="{00000000-0005-0000-0000-0000220D0000}"/>
    <cellStyle name="Output 6 2" xfId="3363" xr:uid="{00000000-0005-0000-0000-0000230D0000}"/>
    <cellStyle name="Output 6 2 2" xfId="3364" xr:uid="{00000000-0005-0000-0000-0000240D0000}"/>
    <cellStyle name="Output 6 3" xfId="3365" xr:uid="{00000000-0005-0000-0000-0000250D0000}"/>
    <cellStyle name="Output 6 3 2" xfId="3366" xr:uid="{00000000-0005-0000-0000-0000260D0000}"/>
    <cellStyle name="Output 6 4" xfId="3367" xr:uid="{00000000-0005-0000-0000-0000270D0000}"/>
    <cellStyle name="Output 6 4 2" xfId="3368" xr:uid="{00000000-0005-0000-0000-0000280D0000}"/>
    <cellStyle name="Output 6 5" xfId="3369" xr:uid="{00000000-0005-0000-0000-0000290D0000}"/>
    <cellStyle name="Output 6 5 2" xfId="3370" xr:uid="{00000000-0005-0000-0000-00002A0D0000}"/>
    <cellStyle name="Output 6 6" xfId="3371" xr:uid="{00000000-0005-0000-0000-00002B0D0000}"/>
    <cellStyle name="Output 7" xfId="3372" xr:uid="{00000000-0005-0000-0000-00002C0D0000}"/>
    <cellStyle name="Output 7 2" xfId="3373" xr:uid="{00000000-0005-0000-0000-00002D0D0000}"/>
    <cellStyle name="Output 7 2 2" xfId="3374" xr:uid="{00000000-0005-0000-0000-00002E0D0000}"/>
    <cellStyle name="Output 7 3" xfId="3375" xr:uid="{00000000-0005-0000-0000-00002F0D0000}"/>
    <cellStyle name="Output 7 3 2" xfId="3376" xr:uid="{00000000-0005-0000-0000-0000300D0000}"/>
    <cellStyle name="Output 7 4" xfId="3377" xr:uid="{00000000-0005-0000-0000-0000310D0000}"/>
    <cellStyle name="Output 7 4 2" xfId="3378" xr:uid="{00000000-0005-0000-0000-0000320D0000}"/>
    <cellStyle name="Output 7 5" xfId="3379" xr:uid="{00000000-0005-0000-0000-0000330D0000}"/>
    <cellStyle name="Output 7 5 2" xfId="3380" xr:uid="{00000000-0005-0000-0000-0000340D0000}"/>
    <cellStyle name="Output 7 6" xfId="3381" xr:uid="{00000000-0005-0000-0000-0000350D0000}"/>
    <cellStyle name="Output 8" xfId="3382" xr:uid="{00000000-0005-0000-0000-0000360D0000}"/>
    <cellStyle name="Output 8 2" xfId="3383" xr:uid="{00000000-0005-0000-0000-0000370D0000}"/>
    <cellStyle name="Output 8 2 2" xfId="3384" xr:uid="{00000000-0005-0000-0000-0000380D0000}"/>
    <cellStyle name="Output 8 3" xfId="3385" xr:uid="{00000000-0005-0000-0000-0000390D0000}"/>
    <cellStyle name="Output 8 3 2" xfId="3386" xr:uid="{00000000-0005-0000-0000-00003A0D0000}"/>
    <cellStyle name="Output 8 4" xfId="3387" xr:uid="{00000000-0005-0000-0000-00003B0D0000}"/>
    <cellStyle name="Output 8 4 2" xfId="3388" xr:uid="{00000000-0005-0000-0000-00003C0D0000}"/>
    <cellStyle name="Output 8 5" xfId="3389" xr:uid="{00000000-0005-0000-0000-00003D0D0000}"/>
    <cellStyle name="Output 8 5 2" xfId="3390" xr:uid="{00000000-0005-0000-0000-00003E0D0000}"/>
    <cellStyle name="Output 8 6" xfId="3391" xr:uid="{00000000-0005-0000-0000-00003F0D0000}"/>
    <cellStyle name="Output 9" xfId="3392" xr:uid="{00000000-0005-0000-0000-0000400D0000}"/>
    <cellStyle name="Output 9 2" xfId="3393" xr:uid="{00000000-0005-0000-0000-0000410D0000}"/>
    <cellStyle name="Percent" xfId="3394" builtinId="5"/>
    <cellStyle name="Title 10" xfId="3395" xr:uid="{00000000-0005-0000-0000-0000430D0000}"/>
    <cellStyle name="Title 11" xfId="3396" xr:uid="{00000000-0005-0000-0000-0000440D0000}"/>
    <cellStyle name="Title 12" xfId="3397" xr:uid="{00000000-0005-0000-0000-0000450D0000}"/>
    <cellStyle name="Title 13" xfId="3398" xr:uid="{00000000-0005-0000-0000-0000460D0000}"/>
    <cellStyle name="Title 14" xfId="3399" xr:uid="{00000000-0005-0000-0000-0000470D0000}"/>
    <cellStyle name="Title 15" xfId="3400" xr:uid="{00000000-0005-0000-0000-0000480D0000}"/>
    <cellStyle name="Title 16" xfId="3401" xr:uid="{00000000-0005-0000-0000-0000490D0000}"/>
    <cellStyle name="Title 17" xfId="3402" xr:uid="{00000000-0005-0000-0000-00004A0D0000}"/>
    <cellStyle name="Title 18" xfId="3403" xr:uid="{00000000-0005-0000-0000-00004B0D0000}"/>
    <cellStyle name="Title 19" xfId="3404" xr:uid="{00000000-0005-0000-0000-00004C0D0000}"/>
    <cellStyle name="Title 2" xfId="3405" xr:uid="{00000000-0005-0000-0000-00004D0D0000}"/>
    <cellStyle name="Title 20" xfId="3406" xr:uid="{00000000-0005-0000-0000-00004E0D0000}"/>
    <cellStyle name="Title 21" xfId="3407" xr:uid="{00000000-0005-0000-0000-00004F0D0000}"/>
    <cellStyle name="Title 22" xfId="3408" xr:uid="{00000000-0005-0000-0000-0000500D0000}"/>
    <cellStyle name="Title 3" xfId="3409" xr:uid="{00000000-0005-0000-0000-0000510D0000}"/>
    <cellStyle name="Title 4" xfId="3410" xr:uid="{00000000-0005-0000-0000-0000520D0000}"/>
    <cellStyle name="Title 5" xfId="3411" xr:uid="{00000000-0005-0000-0000-0000530D0000}"/>
    <cellStyle name="Title 6" xfId="3412" xr:uid="{00000000-0005-0000-0000-0000540D0000}"/>
    <cellStyle name="Title 7" xfId="3413" xr:uid="{00000000-0005-0000-0000-0000550D0000}"/>
    <cellStyle name="Title 8" xfId="3414" xr:uid="{00000000-0005-0000-0000-0000560D0000}"/>
    <cellStyle name="Title 9" xfId="3415" xr:uid="{00000000-0005-0000-0000-0000570D0000}"/>
    <cellStyle name="Total 10" xfId="3416" xr:uid="{00000000-0005-0000-0000-0000580D0000}"/>
    <cellStyle name="Total 11" xfId="3417" xr:uid="{00000000-0005-0000-0000-0000590D0000}"/>
    <cellStyle name="Total 12" xfId="3418" xr:uid="{00000000-0005-0000-0000-00005A0D0000}"/>
    <cellStyle name="Total 13" xfId="3419" xr:uid="{00000000-0005-0000-0000-00005B0D0000}"/>
    <cellStyle name="Total 14" xfId="3420" xr:uid="{00000000-0005-0000-0000-00005C0D0000}"/>
    <cellStyle name="Total 15" xfId="3421" xr:uid="{00000000-0005-0000-0000-00005D0D0000}"/>
    <cellStyle name="Total 16" xfId="3422" xr:uid="{00000000-0005-0000-0000-00005E0D0000}"/>
    <cellStyle name="Total 17" xfId="3423" xr:uid="{00000000-0005-0000-0000-00005F0D0000}"/>
    <cellStyle name="Total 18" xfId="3424" xr:uid="{00000000-0005-0000-0000-0000600D0000}"/>
    <cellStyle name="Total 19" xfId="3425" xr:uid="{00000000-0005-0000-0000-0000610D0000}"/>
    <cellStyle name="Total 2" xfId="3426" xr:uid="{00000000-0005-0000-0000-0000620D0000}"/>
    <cellStyle name="Total 2 2" xfId="3427" xr:uid="{00000000-0005-0000-0000-0000630D0000}"/>
    <cellStyle name="Total 2 2 2" xfId="3428" xr:uid="{00000000-0005-0000-0000-0000640D0000}"/>
    <cellStyle name="Total 2 3" xfId="3429" xr:uid="{00000000-0005-0000-0000-0000650D0000}"/>
    <cellStyle name="Total 2 3 2" xfId="3430" xr:uid="{00000000-0005-0000-0000-0000660D0000}"/>
    <cellStyle name="Total 2 4" xfId="3431" xr:uid="{00000000-0005-0000-0000-0000670D0000}"/>
    <cellStyle name="Total 2 4 2" xfId="3432" xr:uid="{00000000-0005-0000-0000-0000680D0000}"/>
    <cellStyle name="Total 2 5" xfId="3433" xr:uid="{00000000-0005-0000-0000-0000690D0000}"/>
    <cellStyle name="Total 2 5 2" xfId="3434" xr:uid="{00000000-0005-0000-0000-00006A0D0000}"/>
    <cellStyle name="Total 2 6" xfId="3435" xr:uid="{00000000-0005-0000-0000-00006B0D0000}"/>
    <cellStyle name="Total 20" xfId="3436" xr:uid="{00000000-0005-0000-0000-00006C0D0000}"/>
    <cellStyle name="Total 21" xfId="3437" xr:uid="{00000000-0005-0000-0000-00006D0D0000}"/>
    <cellStyle name="Total 22" xfId="3438" xr:uid="{00000000-0005-0000-0000-00006E0D0000}"/>
    <cellStyle name="Total 3" xfId="3439" xr:uid="{00000000-0005-0000-0000-00006F0D0000}"/>
    <cellStyle name="Total 3 2" xfId="3440" xr:uid="{00000000-0005-0000-0000-0000700D0000}"/>
    <cellStyle name="Total 3 2 2" xfId="3441" xr:uid="{00000000-0005-0000-0000-0000710D0000}"/>
    <cellStyle name="Total 3 3" xfId="3442" xr:uid="{00000000-0005-0000-0000-0000720D0000}"/>
    <cellStyle name="Total 3 3 2" xfId="3443" xr:uid="{00000000-0005-0000-0000-0000730D0000}"/>
    <cellStyle name="Total 3 4" xfId="3444" xr:uid="{00000000-0005-0000-0000-0000740D0000}"/>
    <cellStyle name="Total 3 4 2" xfId="3445" xr:uid="{00000000-0005-0000-0000-0000750D0000}"/>
    <cellStyle name="Total 3 5" xfId="3446" xr:uid="{00000000-0005-0000-0000-0000760D0000}"/>
    <cellStyle name="Total 3 5 2" xfId="3447" xr:uid="{00000000-0005-0000-0000-0000770D0000}"/>
    <cellStyle name="Total 3 6" xfId="3448" xr:uid="{00000000-0005-0000-0000-0000780D0000}"/>
    <cellStyle name="Total 4" xfId="3449" xr:uid="{00000000-0005-0000-0000-0000790D0000}"/>
    <cellStyle name="Total 4 2" xfId="3450" xr:uid="{00000000-0005-0000-0000-00007A0D0000}"/>
    <cellStyle name="Total 4 2 2" xfId="3451" xr:uid="{00000000-0005-0000-0000-00007B0D0000}"/>
    <cellStyle name="Total 4 3" xfId="3452" xr:uid="{00000000-0005-0000-0000-00007C0D0000}"/>
    <cellStyle name="Total 4 3 2" xfId="3453" xr:uid="{00000000-0005-0000-0000-00007D0D0000}"/>
    <cellStyle name="Total 4 4" xfId="3454" xr:uid="{00000000-0005-0000-0000-00007E0D0000}"/>
    <cellStyle name="Total 4 4 2" xfId="3455" xr:uid="{00000000-0005-0000-0000-00007F0D0000}"/>
    <cellStyle name="Total 4 5" xfId="3456" xr:uid="{00000000-0005-0000-0000-0000800D0000}"/>
    <cellStyle name="Total 4 5 2" xfId="3457" xr:uid="{00000000-0005-0000-0000-0000810D0000}"/>
    <cellStyle name="Total 4 6" xfId="3458" xr:uid="{00000000-0005-0000-0000-0000820D0000}"/>
    <cellStyle name="Total 5" xfId="3459" xr:uid="{00000000-0005-0000-0000-0000830D0000}"/>
    <cellStyle name="Total 5 2" xfId="3460" xr:uid="{00000000-0005-0000-0000-0000840D0000}"/>
    <cellStyle name="Total 5 2 2" xfId="3461" xr:uid="{00000000-0005-0000-0000-0000850D0000}"/>
    <cellStyle name="Total 5 3" xfId="3462" xr:uid="{00000000-0005-0000-0000-0000860D0000}"/>
    <cellStyle name="Total 5 3 2" xfId="3463" xr:uid="{00000000-0005-0000-0000-0000870D0000}"/>
    <cellStyle name="Total 5 4" xfId="3464" xr:uid="{00000000-0005-0000-0000-0000880D0000}"/>
    <cellStyle name="Total 5 4 2" xfId="3465" xr:uid="{00000000-0005-0000-0000-0000890D0000}"/>
    <cellStyle name="Total 5 5" xfId="3466" xr:uid="{00000000-0005-0000-0000-00008A0D0000}"/>
    <cellStyle name="Total 5 5 2" xfId="3467" xr:uid="{00000000-0005-0000-0000-00008B0D0000}"/>
    <cellStyle name="Total 5 6" xfId="3468" xr:uid="{00000000-0005-0000-0000-00008C0D0000}"/>
    <cellStyle name="Total 6" xfId="3469" xr:uid="{00000000-0005-0000-0000-00008D0D0000}"/>
    <cellStyle name="Total 6 2" xfId="3470" xr:uid="{00000000-0005-0000-0000-00008E0D0000}"/>
    <cellStyle name="Total 6 2 2" xfId="3471" xr:uid="{00000000-0005-0000-0000-00008F0D0000}"/>
    <cellStyle name="Total 6 3" xfId="3472" xr:uid="{00000000-0005-0000-0000-0000900D0000}"/>
    <cellStyle name="Total 6 3 2" xfId="3473" xr:uid="{00000000-0005-0000-0000-0000910D0000}"/>
    <cellStyle name="Total 6 4" xfId="3474" xr:uid="{00000000-0005-0000-0000-0000920D0000}"/>
    <cellStyle name="Total 6 4 2" xfId="3475" xr:uid="{00000000-0005-0000-0000-0000930D0000}"/>
    <cellStyle name="Total 6 5" xfId="3476" xr:uid="{00000000-0005-0000-0000-0000940D0000}"/>
    <cellStyle name="Total 6 5 2" xfId="3477" xr:uid="{00000000-0005-0000-0000-0000950D0000}"/>
    <cellStyle name="Total 6 6" xfId="3478" xr:uid="{00000000-0005-0000-0000-0000960D0000}"/>
    <cellStyle name="Total 7" xfId="3479" xr:uid="{00000000-0005-0000-0000-0000970D0000}"/>
    <cellStyle name="Total 7 2" xfId="3480" xr:uid="{00000000-0005-0000-0000-0000980D0000}"/>
    <cellStyle name="Total 7 2 2" xfId="3481" xr:uid="{00000000-0005-0000-0000-0000990D0000}"/>
    <cellStyle name="Total 7 3" xfId="3482" xr:uid="{00000000-0005-0000-0000-00009A0D0000}"/>
    <cellStyle name="Total 7 3 2" xfId="3483" xr:uid="{00000000-0005-0000-0000-00009B0D0000}"/>
    <cellStyle name="Total 7 4" xfId="3484" xr:uid="{00000000-0005-0000-0000-00009C0D0000}"/>
    <cellStyle name="Total 7 4 2" xfId="3485" xr:uid="{00000000-0005-0000-0000-00009D0D0000}"/>
    <cellStyle name="Total 7 5" xfId="3486" xr:uid="{00000000-0005-0000-0000-00009E0D0000}"/>
    <cellStyle name="Total 7 5 2" xfId="3487" xr:uid="{00000000-0005-0000-0000-00009F0D0000}"/>
    <cellStyle name="Total 7 6" xfId="3488" xr:uid="{00000000-0005-0000-0000-0000A00D0000}"/>
    <cellStyle name="Total 8" xfId="3489" xr:uid="{00000000-0005-0000-0000-0000A10D0000}"/>
    <cellStyle name="Total 8 2" xfId="3490" xr:uid="{00000000-0005-0000-0000-0000A20D0000}"/>
    <cellStyle name="Total 8 2 2" xfId="3491" xr:uid="{00000000-0005-0000-0000-0000A30D0000}"/>
    <cellStyle name="Total 8 3" xfId="3492" xr:uid="{00000000-0005-0000-0000-0000A40D0000}"/>
    <cellStyle name="Total 8 3 2" xfId="3493" xr:uid="{00000000-0005-0000-0000-0000A50D0000}"/>
    <cellStyle name="Total 8 4" xfId="3494" xr:uid="{00000000-0005-0000-0000-0000A60D0000}"/>
    <cellStyle name="Total 8 4 2" xfId="3495" xr:uid="{00000000-0005-0000-0000-0000A70D0000}"/>
    <cellStyle name="Total 8 5" xfId="3496" xr:uid="{00000000-0005-0000-0000-0000A80D0000}"/>
    <cellStyle name="Total 8 5 2" xfId="3497" xr:uid="{00000000-0005-0000-0000-0000A90D0000}"/>
    <cellStyle name="Total 8 6" xfId="3498" xr:uid="{00000000-0005-0000-0000-0000AA0D0000}"/>
    <cellStyle name="Total 9" xfId="3499" xr:uid="{00000000-0005-0000-0000-0000AB0D0000}"/>
    <cellStyle name="Total 9 2" xfId="3500" xr:uid="{00000000-0005-0000-0000-0000AC0D0000}"/>
    <cellStyle name="Warning Text 10" xfId="3501" xr:uid="{00000000-0005-0000-0000-0000AD0D0000}"/>
    <cellStyle name="Warning Text 11" xfId="3502" xr:uid="{00000000-0005-0000-0000-0000AE0D0000}"/>
    <cellStyle name="Warning Text 12" xfId="3503" xr:uid="{00000000-0005-0000-0000-0000AF0D0000}"/>
    <cellStyle name="Warning Text 13" xfId="3504" xr:uid="{00000000-0005-0000-0000-0000B00D0000}"/>
    <cellStyle name="Warning Text 14" xfId="3505" xr:uid="{00000000-0005-0000-0000-0000B10D0000}"/>
    <cellStyle name="Warning Text 15" xfId="3506" xr:uid="{00000000-0005-0000-0000-0000B20D0000}"/>
    <cellStyle name="Warning Text 16" xfId="3507" xr:uid="{00000000-0005-0000-0000-0000B30D0000}"/>
    <cellStyle name="Warning Text 17" xfId="3508" xr:uid="{00000000-0005-0000-0000-0000B40D0000}"/>
    <cellStyle name="Warning Text 18" xfId="3509" xr:uid="{00000000-0005-0000-0000-0000B50D0000}"/>
    <cellStyle name="Warning Text 19" xfId="3510" xr:uid="{00000000-0005-0000-0000-0000B60D0000}"/>
    <cellStyle name="Warning Text 2" xfId="3511" xr:uid="{00000000-0005-0000-0000-0000B70D0000}"/>
    <cellStyle name="Warning Text 2 2" xfId="3512" xr:uid="{00000000-0005-0000-0000-0000B80D0000}"/>
    <cellStyle name="Warning Text 2 2 2" xfId="3513" xr:uid="{00000000-0005-0000-0000-0000B90D0000}"/>
    <cellStyle name="Warning Text 2 3" xfId="3514" xr:uid="{00000000-0005-0000-0000-0000BA0D0000}"/>
    <cellStyle name="Warning Text 2 3 2" xfId="3515" xr:uid="{00000000-0005-0000-0000-0000BB0D0000}"/>
    <cellStyle name="Warning Text 2 4" xfId="3516" xr:uid="{00000000-0005-0000-0000-0000BC0D0000}"/>
    <cellStyle name="Warning Text 2 4 2" xfId="3517" xr:uid="{00000000-0005-0000-0000-0000BD0D0000}"/>
    <cellStyle name="Warning Text 2 5" xfId="3518" xr:uid="{00000000-0005-0000-0000-0000BE0D0000}"/>
    <cellStyle name="Warning Text 2 5 2" xfId="3519" xr:uid="{00000000-0005-0000-0000-0000BF0D0000}"/>
    <cellStyle name="Warning Text 2 6" xfId="3520" xr:uid="{00000000-0005-0000-0000-0000C00D0000}"/>
    <cellStyle name="Warning Text 20" xfId="3521" xr:uid="{00000000-0005-0000-0000-0000C10D0000}"/>
    <cellStyle name="Warning Text 21" xfId="3522" xr:uid="{00000000-0005-0000-0000-0000C20D0000}"/>
    <cellStyle name="Warning Text 22" xfId="3523" xr:uid="{00000000-0005-0000-0000-0000C30D0000}"/>
    <cellStyle name="Warning Text 3" xfId="3524" xr:uid="{00000000-0005-0000-0000-0000C40D0000}"/>
    <cellStyle name="Warning Text 3 2" xfId="3525" xr:uid="{00000000-0005-0000-0000-0000C50D0000}"/>
    <cellStyle name="Warning Text 3 2 2" xfId="3526" xr:uid="{00000000-0005-0000-0000-0000C60D0000}"/>
    <cellStyle name="Warning Text 3 3" xfId="3527" xr:uid="{00000000-0005-0000-0000-0000C70D0000}"/>
    <cellStyle name="Warning Text 3 3 2" xfId="3528" xr:uid="{00000000-0005-0000-0000-0000C80D0000}"/>
    <cellStyle name="Warning Text 3 4" xfId="3529" xr:uid="{00000000-0005-0000-0000-0000C90D0000}"/>
    <cellStyle name="Warning Text 3 4 2" xfId="3530" xr:uid="{00000000-0005-0000-0000-0000CA0D0000}"/>
    <cellStyle name="Warning Text 3 5" xfId="3531" xr:uid="{00000000-0005-0000-0000-0000CB0D0000}"/>
    <cellStyle name="Warning Text 3 5 2" xfId="3532" xr:uid="{00000000-0005-0000-0000-0000CC0D0000}"/>
    <cellStyle name="Warning Text 3 6" xfId="3533" xr:uid="{00000000-0005-0000-0000-0000CD0D0000}"/>
    <cellStyle name="Warning Text 4" xfId="3534" xr:uid="{00000000-0005-0000-0000-0000CE0D0000}"/>
    <cellStyle name="Warning Text 4 2" xfId="3535" xr:uid="{00000000-0005-0000-0000-0000CF0D0000}"/>
    <cellStyle name="Warning Text 4 2 2" xfId="3536" xr:uid="{00000000-0005-0000-0000-0000D00D0000}"/>
    <cellStyle name="Warning Text 4 3" xfId="3537" xr:uid="{00000000-0005-0000-0000-0000D10D0000}"/>
    <cellStyle name="Warning Text 4 3 2" xfId="3538" xr:uid="{00000000-0005-0000-0000-0000D20D0000}"/>
    <cellStyle name="Warning Text 4 4" xfId="3539" xr:uid="{00000000-0005-0000-0000-0000D30D0000}"/>
    <cellStyle name="Warning Text 4 4 2" xfId="3540" xr:uid="{00000000-0005-0000-0000-0000D40D0000}"/>
    <cellStyle name="Warning Text 4 5" xfId="3541" xr:uid="{00000000-0005-0000-0000-0000D50D0000}"/>
    <cellStyle name="Warning Text 4 5 2" xfId="3542" xr:uid="{00000000-0005-0000-0000-0000D60D0000}"/>
    <cellStyle name="Warning Text 4 6" xfId="3543" xr:uid="{00000000-0005-0000-0000-0000D70D0000}"/>
    <cellStyle name="Warning Text 5" xfId="3544" xr:uid="{00000000-0005-0000-0000-0000D80D0000}"/>
    <cellStyle name="Warning Text 5 2" xfId="3545" xr:uid="{00000000-0005-0000-0000-0000D90D0000}"/>
    <cellStyle name="Warning Text 5 2 2" xfId="3546" xr:uid="{00000000-0005-0000-0000-0000DA0D0000}"/>
    <cellStyle name="Warning Text 5 3" xfId="3547" xr:uid="{00000000-0005-0000-0000-0000DB0D0000}"/>
    <cellStyle name="Warning Text 5 3 2" xfId="3548" xr:uid="{00000000-0005-0000-0000-0000DC0D0000}"/>
    <cellStyle name="Warning Text 5 4" xfId="3549" xr:uid="{00000000-0005-0000-0000-0000DD0D0000}"/>
    <cellStyle name="Warning Text 5 4 2" xfId="3550" xr:uid="{00000000-0005-0000-0000-0000DE0D0000}"/>
    <cellStyle name="Warning Text 5 5" xfId="3551" xr:uid="{00000000-0005-0000-0000-0000DF0D0000}"/>
    <cellStyle name="Warning Text 5 5 2" xfId="3552" xr:uid="{00000000-0005-0000-0000-0000E00D0000}"/>
    <cellStyle name="Warning Text 5 6" xfId="3553" xr:uid="{00000000-0005-0000-0000-0000E10D0000}"/>
    <cellStyle name="Warning Text 6" xfId="3554" xr:uid="{00000000-0005-0000-0000-0000E20D0000}"/>
    <cellStyle name="Warning Text 6 2" xfId="3555" xr:uid="{00000000-0005-0000-0000-0000E30D0000}"/>
    <cellStyle name="Warning Text 6 2 2" xfId="3556" xr:uid="{00000000-0005-0000-0000-0000E40D0000}"/>
    <cellStyle name="Warning Text 6 3" xfId="3557" xr:uid="{00000000-0005-0000-0000-0000E50D0000}"/>
    <cellStyle name="Warning Text 6 3 2" xfId="3558" xr:uid="{00000000-0005-0000-0000-0000E60D0000}"/>
    <cellStyle name="Warning Text 6 4" xfId="3559" xr:uid="{00000000-0005-0000-0000-0000E70D0000}"/>
    <cellStyle name="Warning Text 6 4 2" xfId="3560" xr:uid="{00000000-0005-0000-0000-0000E80D0000}"/>
    <cellStyle name="Warning Text 6 5" xfId="3561" xr:uid="{00000000-0005-0000-0000-0000E90D0000}"/>
    <cellStyle name="Warning Text 6 5 2" xfId="3562" xr:uid="{00000000-0005-0000-0000-0000EA0D0000}"/>
    <cellStyle name="Warning Text 6 6" xfId="3563" xr:uid="{00000000-0005-0000-0000-0000EB0D0000}"/>
    <cellStyle name="Warning Text 7" xfId="3564" xr:uid="{00000000-0005-0000-0000-0000EC0D0000}"/>
    <cellStyle name="Warning Text 7 2" xfId="3565" xr:uid="{00000000-0005-0000-0000-0000ED0D0000}"/>
    <cellStyle name="Warning Text 7 2 2" xfId="3566" xr:uid="{00000000-0005-0000-0000-0000EE0D0000}"/>
    <cellStyle name="Warning Text 7 3" xfId="3567" xr:uid="{00000000-0005-0000-0000-0000EF0D0000}"/>
    <cellStyle name="Warning Text 7 3 2" xfId="3568" xr:uid="{00000000-0005-0000-0000-0000F00D0000}"/>
    <cellStyle name="Warning Text 7 4" xfId="3569" xr:uid="{00000000-0005-0000-0000-0000F10D0000}"/>
    <cellStyle name="Warning Text 7 4 2" xfId="3570" xr:uid="{00000000-0005-0000-0000-0000F20D0000}"/>
    <cellStyle name="Warning Text 7 5" xfId="3571" xr:uid="{00000000-0005-0000-0000-0000F30D0000}"/>
    <cellStyle name="Warning Text 7 5 2" xfId="3572" xr:uid="{00000000-0005-0000-0000-0000F40D0000}"/>
    <cellStyle name="Warning Text 7 6" xfId="3573" xr:uid="{00000000-0005-0000-0000-0000F50D0000}"/>
    <cellStyle name="Warning Text 8" xfId="3574" xr:uid="{00000000-0005-0000-0000-0000F60D0000}"/>
    <cellStyle name="Warning Text 8 2" xfId="3575" xr:uid="{00000000-0005-0000-0000-0000F70D0000}"/>
    <cellStyle name="Warning Text 8 2 2" xfId="3576" xr:uid="{00000000-0005-0000-0000-0000F80D0000}"/>
    <cellStyle name="Warning Text 8 3" xfId="3577" xr:uid="{00000000-0005-0000-0000-0000F90D0000}"/>
    <cellStyle name="Warning Text 8 3 2" xfId="3578" xr:uid="{00000000-0005-0000-0000-0000FA0D0000}"/>
    <cellStyle name="Warning Text 8 4" xfId="3579" xr:uid="{00000000-0005-0000-0000-0000FB0D0000}"/>
    <cellStyle name="Warning Text 8 4 2" xfId="3580" xr:uid="{00000000-0005-0000-0000-0000FC0D0000}"/>
    <cellStyle name="Warning Text 8 5" xfId="3581" xr:uid="{00000000-0005-0000-0000-0000FD0D0000}"/>
    <cellStyle name="Warning Text 8 5 2" xfId="3582" xr:uid="{00000000-0005-0000-0000-0000FE0D0000}"/>
    <cellStyle name="Warning Text 8 6" xfId="3583" xr:uid="{00000000-0005-0000-0000-0000FF0D0000}"/>
    <cellStyle name="Warning Text 9" xfId="3584" xr:uid="{00000000-0005-0000-0000-0000000E0000}"/>
    <cellStyle name="Warning Text 9 2" xfId="3585" xr:uid="{00000000-0005-0000-0000-0000010E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A3:Q123"/>
  <sheetViews>
    <sheetView tabSelected="1" view="pageBreakPreview" zoomScale="130" zoomScaleNormal="130" zoomScaleSheetLayoutView="130" workbookViewId="0">
      <selection activeCell="A10" sqref="A10"/>
    </sheetView>
  </sheetViews>
  <sheetFormatPr defaultRowHeight="12.75"/>
  <cols>
    <col min="1" max="1" width="8.7109375" customWidth="1"/>
    <col min="2" max="2" width="3.140625" customWidth="1"/>
    <col min="3" max="3" width="7" customWidth="1"/>
    <col min="4" max="4" width="14.42578125" customWidth="1"/>
    <col min="5" max="5" width="15" customWidth="1"/>
    <col min="6" max="6" width="3.7109375" customWidth="1"/>
    <col min="7" max="7" width="10.42578125" customWidth="1"/>
    <col min="8" max="8" width="13.28515625" style="104" bestFit="1" customWidth="1"/>
    <col min="9" max="9" width="3.28515625" style="144" customWidth="1"/>
    <col min="10" max="10" width="13" style="268" customWidth="1"/>
    <col min="11" max="11" width="9.140625" style="16"/>
  </cols>
  <sheetData>
    <row r="3" spans="1:17" s="193" customFormat="1">
      <c r="A3" s="393" t="s">
        <v>1</v>
      </c>
      <c r="B3" s="394"/>
      <c r="C3" s="394"/>
      <c r="D3" s="394"/>
      <c r="E3" s="394"/>
      <c r="F3" s="394"/>
      <c r="G3" s="394"/>
      <c r="H3" s="394"/>
      <c r="I3" s="394"/>
      <c r="J3" s="394"/>
      <c r="K3" s="249"/>
    </row>
    <row r="4" spans="1:17" s="193" customFormat="1">
      <c r="A4" s="395" t="s">
        <v>198</v>
      </c>
      <c r="B4" s="394"/>
      <c r="C4" s="394"/>
      <c r="D4" s="394"/>
      <c r="E4" s="394"/>
      <c r="F4" s="394"/>
      <c r="G4" s="394"/>
      <c r="H4" s="394"/>
      <c r="I4" s="394"/>
      <c r="J4" s="394"/>
      <c r="K4" s="249"/>
    </row>
    <row r="5" spans="1:17" s="193" customFormat="1">
      <c r="A5" s="396" t="s">
        <v>172</v>
      </c>
      <c r="B5" s="394"/>
      <c r="C5" s="394"/>
      <c r="D5" s="394"/>
      <c r="E5" s="394"/>
      <c r="F5" s="394"/>
      <c r="G5" s="394"/>
      <c r="H5" s="394"/>
      <c r="I5" s="394"/>
      <c r="J5" s="394"/>
      <c r="K5" s="276"/>
      <c r="L5" s="277"/>
      <c r="M5" s="277"/>
      <c r="N5" s="277"/>
      <c r="O5" s="277"/>
      <c r="P5" s="277"/>
      <c r="Q5" s="277"/>
    </row>
    <row r="6" spans="1:17" s="193" customFormat="1">
      <c r="A6" s="397">
        <v>43373</v>
      </c>
      <c r="B6" s="394"/>
      <c r="C6" s="394"/>
      <c r="D6" s="394"/>
      <c r="E6" s="394"/>
      <c r="F6" s="394"/>
      <c r="G6" s="394"/>
      <c r="H6" s="394"/>
      <c r="I6" s="394"/>
      <c r="J6" s="394"/>
      <c r="K6" s="276"/>
      <c r="L6" s="277"/>
      <c r="M6" s="277"/>
      <c r="N6" s="277"/>
      <c r="O6" s="277"/>
      <c r="P6" s="277"/>
      <c r="Q6" s="277"/>
    </row>
    <row r="7" spans="1:17">
      <c r="A7" s="398" t="s">
        <v>221</v>
      </c>
      <c r="B7" s="399"/>
      <c r="C7" s="399"/>
      <c r="D7" s="399"/>
      <c r="E7" s="399"/>
      <c r="F7" s="399"/>
      <c r="G7" s="399"/>
      <c r="H7" s="399"/>
      <c r="I7" s="399"/>
      <c r="J7" s="399"/>
    </row>
    <row r="8" spans="1:17">
      <c r="A8" s="103"/>
      <c r="B8" s="103"/>
      <c r="C8" s="103"/>
      <c r="D8" s="103"/>
      <c r="E8" s="103"/>
      <c r="F8" s="103"/>
      <c r="G8" s="103"/>
      <c r="H8" s="208"/>
    </row>
    <row r="9" spans="1:17">
      <c r="A9" s="102"/>
      <c r="B9" s="102"/>
      <c r="C9" s="102"/>
      <c r="D9" s="102"/>
      <c r="E9" s="102"/>
      <c r="F9" s="102"/>
      <c r="G9" s="102"/>
      <c r="H9" s="209"/>
    </row>
    <row r="10" spans="1:17">
      <c r="A10" s="1"/>
      <c r="B10" s="1"/>
      <c r="C10" s="1"/>
      <c r="D10" s="1"/>
      <c r="E10" s="1"/>
      <c r="F10" s="1"/>
      <c r="G10" s="3"/>
      <c r="H10" s="106"/>
    </row>
    <row r="11" spans="1:17">
      <c r="A11" s="1"/>
      <c r="B11" s="1"/>
      <c r="C11" s="1"/>
      <c r="D11" s="1"/>
      <c r="E11" s="1"/>
      <c r="F11" s="1"/>
      <c r="G11" s="1"/>
      <c r="H11" s="210"/>
    </row>
    <row r="12" spans="1:17">
      <c r="D12" s="166"/>
      <c r="E12" s="167" t="s">
        <v>140</v>
      </c>
      <c r="H12" s="106"/>
      <c r="L12" s="122"/>
    </row>
    <row r="13" spans="1:17">
      <c r="C13" s="2"/>
      <c r="D13" s="13"/>
      <c r="E13" s="13" t="s">
        <v>141</v>
      </c>
      <c r="F13" s="13"/>
      <c r="G13" s="13"/>
      <c r="H13" s="344">
        <v>2018</v>
      </c>
      <c r="J13" s="344">
        <v>2017</v>
      </c>
    </row>
    <row r="14" spans="1:17">
      <c r="A14" s="3"/>
      <c r="B14" s="23" t="s">
        <v>2</v>
      </c>
      <c r="D14" s="13"/>
      <c r="E14" s="13"/>
      <c r="F14" s="13"/>
      <c r="G14" s="13"/>
      <c r="H14" s="211"/>
    </row>
    <row r="15" spans="1:17">
      <c r="A15" s="3"/>
      <c r="B15" s="3"/>
      <c r="C15" s="13" t="s">
        <v>135</v>
      </c>
      <c r="D15" s="13"/>
      <c r="E15" s="13"/>
      <c r="F15" s="13"/>
      <c r="G15" s="13"/>
      <c r="H15" s="213">
        <v>1793501.75</v>
      </c>
      <c r="J15" s="319">
        <v>1204119.5</v>
      </c>
    </row>
    <row r="16" spans="1:17">
      <c r="A16" s="3"/>
      <c r="B16" s="3"/>
      <c r="C16" s="13" t="s">
        <v>136</v>
      </c>
      <c r="D16" s="13"/>
      <c r="E16" s="13"/>
      <c r="F16" s="13"/>
      <c r="G16" s="13"/>
      <c r="H16" s="238">
        <v>262455.25</v>
      </c>
      <c r="J16" s="320">
        <v>251579.5</v>
      </c>
    </row>
    <row r="17" spans="1:12">
      <c r="A17" s="3"/>
      <c r="B17" s="3"/>
      <c r="C17" s="13"/>
      <c r="D17" s="13" t="s">
        <v>3</v>
      </c>
      <c r="E17" s="13"/>
      <c r="F17" s="13"/>
      <c r="G17" s="13"/>
      <c r="H17" s="239">
        <f>SUM(H15:H16)</f>
        <v>2055957</v>
      </c>
      <c r="J17" s="316">
        <f>SUM(J15:J16)</f>
        <v>1455699</v>
      </c>
    </row>
    <row r="18" spans="1:12">
      <c r="A18" s="3"/>
      <c r="B18" s="3"/>
      <c r="C18" s="13"/>
      <c r="D18" s="13"/>
      <c r="E18" s="13"/>
      <c r="F18" s="13"/>
      <c r="G18" s="13"/>
      <c r="H18" s="211"/>
    </row>
    <row r="19" spans="1:12">
      <c r="A19" s="3"/>
      <c r="B19" s="23" t="s">
        <v>4</v>
      </c>
      <c r="D19" s="13"/>
      <c r="E19" s="13"/>
      <c r="F19" s="13"/>
      <c r="G19" s="13"/>
      <c r="H19" s="211"/>
    </row>
    <row r="20" spans="1:12" hidden="1">
      <c r="A20" s="3"/>
      <c r="B20" s="3"/>
      <c r="C20" s="13" t="s">
        <v>137</v>
      </c>
      <c r="D20" s="13"/>
      <c r="E20" s="13"/>
      <c r="F20" s="13"/>
      <c r="G20" s="13"/>
      <c r="H20" s="211">
        <v>0</v>
      </c>
      <c r="J20" s="288">
        <v>0</v>
      </c>
    </row>
    <row r="21" spans="1:12">
      <c r="A21" s="3"/>
      <c r="B21" s="3"/>
      <c r="C21" s="16" t="s">
        <v>200</v>
      </c>
      <c r="D21" s="13"/>
      <c r="E21" s="13"/>
      <c r="F21" s="13"/>
      <c r="G21" s="13"/>
      <c r="H21" s="211">
        <v>0</v>
      </c>
      <c r="J21" s="288">
        <v>3221</v>
      </c>
    </row>
    <row r="22" spans="1:12" ht="12.75" customHeight="1">
      <c r="A22" s="3"/>
      <c r="B22" s="3"/>
      <c r="C22" s="16" t="s">
        <v>183</v>
      </c>
      <c r="D22" s="13"/>
      <c r="E22" s="13"/>
      <c r="F22" s="13"/>
      <c r="G22" s="13"/>
      <c r="H22" s="238">
        <v>0</v>
      </c>
      <c r="J22" s="238">
        <v>1462</v>
      </c>
    </row>
    <row r="23" spans="1:12">
      <c r="A23" s="3"/>
      <c r="B23" s="3"/>
      <c r="C23" s="13"/>
      <c r="D23" s="13" t="s">
        <v>5</v>
      </c>
      <c r="E23" s="13"/>
      <c r="F23" s="13"/>
      <c r="G23" s="13"/>
      <c r="H23" s="239">
        <f>SUM(H20:H22)</f>
        <v>0</v>
      </c>
      <c r="I23" s="116"/>
      <c r="J23" s="321">
        <f>SUM(J20:J22)</f>
        <v>4683</v>
      </c>
    </row>
    <row r="24" spans="1:12">
      <c r="C24" s="13"/>
      <c r="D24" s="13"/>
      <c r="E24" s="13"/>
      <c r="F24" s="13"/>
      <c r="G24" s="13"/>
      <c r="H24" s="211"/>
    </row>
    <row r="25" spans="1:12" ht="13.5" thickBot="1">
      <c r="C25" s="13"/>
      <c r="D25" s="4" t="s">
        <v>6</v>
      </c>
      <c r="E25" s="13"/>
      <c r="F25" s="13"/>
      <c r="G25" s="13"/>
      <c r="H25" s="315">
        <f>+H23+H17</f>
        <v>2055957</v>
      </c>
      <c r="J25" s="322">
        <f>SUM(J17,J23)</f>
        <v>1460382</v>
      </c>
    </row>
    <row r="26" spans="1:12" ht="2.1" customHeight="1" thickTop="1">
      <c r="C26" s="13"/>
      <c r="D26" s="13"/>
      <c r="E26" s="13"/>
      <c r="F26" s="13"/>
      <c r="G26" s="13"/>
      <c r="H26" s="211">
        <f>F26-G26</f>
        <v>0</v>
      </c>
    </row>
    <row r="27" spans="1:12">
      <c r="C27" s="13"/>
      <c r="D27" s="13"/>
      <c r="E27" s="13"/>
      <c r="F27" s="13"/>
      <c r="G27" s="13"/>
      <c r="H27" s="211"/>
    </row>
    <row r="28" spans="1:12">
      <c r="C28" s="13"/>
      <c r="D28" s="13"/>
      <c r="E28" s="13"/>
      <c r="F28" s="13"/>
      <c r="G28" s="13"/>
      <c r="H28" s="211"/>
    </row>
    <row r="29" spans="1:12">
      <c r="C29" s="13"/>
      <c r="D29" s="13"/>
      <c r="E29" s="13"/>
      <c r="F29" s="13"/>
      <c r="G29" s="13"/>
      <c r="H29" s="211"/>
    </row>
    <row r="30" spans="1:12">
      <c r="C30" s="13"/>
      <c r="D30" s="13"/>
      <c r="E30" s="13"/>
      <c r="F30" s="13"/>
      <c r="G30" s="13"/>
      <c r="H30" s="211"/>
    </row>
    <row r="31" spans="1:12">
      <c r="A31" s="356"/>
      <c r="B31" s="356"/>
      <c r="C31" s="356"/>
      <c r="D31" s="16"/>
      <c r="E31" s="16"/>
      <c r="F31" s="357" t="s">
        <v>207</v>
      </c>
      <c r="G31" s="356"/>
      <c r="H31" s="359"/>
      <c r="L31" s="122"/>
    </row>
    <row r="32" spans="1:12">
      <c r="C32" s="2"/>
      <c r="D32" s="13"/>
      <c r="E32" s="13"/>
      <c r="F32" s="13"/>
      <c r="G32" s="13"/>
      <c r="H32" s="211"/>
    </row>
    <row r="33" spans="1:10">
      <c r="A33" s="3"/>
      <c r="B33" s="23" t="s">
        <v>7</v>
      </c>
      <c r="D33" s="13"/>
      <c r="E33" s="13"/>
      <c r="F33" s="13"/>
      <c r="G33" s="13"/>
      <c r="H33" s="211"/>
    </row>
    <row r="34" spans="1:10" ht="12.75" customHeight="1">
      <c r="A34" s="3"/>
      <c r="B34" s="3"/>
      <c r="C34" s="16" t="s">
        <v>184</v>
      </c>
      <c r="D34" s="13"/>
      <c r="E34" s="13"/>
      <c r="F34" s="13"/>
      <c r="G34" s="16"/>
      <c r="H34" s="314">
        <f>27667.94</f>
        <v>27667.94</v>
      </c>
      <c r="J34" s="319">
        <v>0</v>
      </c>
    </row>
    <row r="35" spans="1:10">
      <c r="A35" s="3"/>
      <c r="B35" s="3"/>
      <c r="C35" s="13" t="s">
        <v>138</v>
      </c>
      <c r="D35" s="13"/>
      <c r="E35" s="13"/>
      <c r="F35" s="13"/>
      <c r="H35" s="359">
        <f>'domestic projects (with 0 proj)'!G86-0.5</f>
        <v>138749.5</v>
      </c>
      <c r="I35" s="144">
        <f>4977.55+4977.55</f>
        <v>9955.1</v>
      </c>
      <c r="J35" s="359">
        <v>176913</v>
      </c>
    </row>
    <row r="36" spans="1:10" ht="13.5" customHeight="1">
      <c r="A36" s="3"/>
      <c r="B36" s="3"/>
      <c r="C36" s="13" t="s">
        <v>139</v>
      </c>
      <c r="D36" s="13"/>
      <c r="E36" s="13"/>
      <c r="F36" s="13"/>
      <c r="G36" s="348"/>
      <c r="H36" s="238">
        <f>'int''l projects (with 0 proj)'!K25+0.3</f>
        <v>22915.05</v>
      </c>
      <c r="I36" s="144">
        <f>SUM(I29:I35)</f>
        <v>9955.1</v>
      </c>
      <c r="J36" s="323">
        <v>22500</v>
      </c>
    </row>
    <row r="37" spans="1:10" ht="13.5" hidden="1" customHeight="1">
      <c r="A37" s="3"/>
      <c r="B37" s="3"/>
      <c r="C37" s="16" t="s">
        <v>164</v>
      </c>
      <c r="D37" s="13"/>
      <c r="E37" s="13"/>
      <c r="F37" s="13"/>
      <c r="G37" s="13"/>
      <c r="H37" s="238">
        <v>0</v>
      </c>
      <c r="J37" s="268">
        <v>0</v>
      </c>
    </row>
    <row r="38" spans="1:10">
      <c r="A38" s="3"/>
      <c r="B38" s="3"/>
      <c r="C38" s="13"/>
      <c r="D38" s="13" t="s">
        <v>8</v>
      </c>
      <c r="E38" s="13"/>
      <c r="F38" s="13"/>
      <c r="G38" s="13"/>
      <c r="H38" s="239">
        <f>SUM(H34:H37)</f>
        <v>189332.49</v>
      </c>
      <c r="J38" s="316">
        <f>SUM(J34:J37)</f>
        <v>199413</v>
      </c>
    </row>
    <row r="39" spans="1:10">
      <c r="A39" s="3"/>
      <c r="B39" s="3"/>
      <c r="C39" s="13"/>
      <c r="D39" s="13"/>
      <c r="E39" s="13"/>
      <c r="F39" s="13"/>
      <c r="G39" s="13"/>
      <c r="H39" s="211"/>
    </row>
    <row r="40" spans="1:10">
      <c r="A40" s="3"/>
      <c r="B40" s="23" t="s">
        <v>9</v>
      </c>
      <c r="D40" s="13"/>
      <c r="E40" s="13"/>
      <c r="F40" s="13"/>
      <c r="G40" s="13"/>
      <c r="H40" s="211"/>
    </row>
    <row r="41" spans="1:10">
      <c r="A41" s="3"/>
      <c r="B41" s="3"/>
      <c r="C41" s="16" t="s">
        <v>192</v>
      </c>
      <c r="D41" s="13"/>
      <c r="E41" s="13"/>
      <c r="F41" s="13"/>
      <c r="G41" s="245"/>
      <c r="H41" s="211">
        <f>'change in net assets'!F27</f>
        <v>1866624.3399999999</v>
      </c>
      <c r="I41" s="247">
        <v>353898</v>
      </c>
      <c r="J41" s="323">
        <f>'change in net assets'!G27+0</f>
        <v>1260969</v>
      </c>
    </row>
    <row r="42" spans="1:10" ht="14.45" customHeight="1">
      <c r="A42" s="3"/>
      <c r="B42" s="3"/>
      <c r="C42" s="13"/>
      <c r="D42" s="13" t="s">
        <v>10</v>
      </c>
      <c r="E42" s="13"/>
      <c r="F42" s="13"/>
      <c r="G42" s="245"/>
      <c r="H42" s="316">
        <f>SUM(H41)</f>
        <v>1866624.3399999999</v>
      </c>
      <c r="I42" s="248"/>
      <c r="J42" s="316">
        <f>SUM(J41)</f>
        <v>1260969</v>
      </c>
    </row>
    <row r="43" spans="1:10">
      <c r="C43" s="13"/>
      <c r="D43" s="13"/>
      <c r="E43" s="13"/>
      <c r="F43" s="13"/>
      <c r="G43" s="245"/>
      <c r="H43" s="198"/>
      <c r="I43" s="249"/>
    </row>
    <row r="44" spans="1:10" ht="13.5" thickBot="1">
      <c r="C44" s="13"/>
      <c r="D44" s="4" t="s">
        <v>11</v>
      </c>
      <c r="E44" s="13"/>
      <c r="F44" s="13"/>
      <c r="G44" s="245"/>
      <c r="H44" s="315">
        <f>+H42+H38</f>
        <v>2055956.8299999998</v>
      </c>
      <c r="I44" s="250">
        <f>SUM(H25-H44)</f>
        <v>0.17000000015832484</v>
      </c>
      <c r="J44" s="322">
        <f>SUM(J38,J42)</f>
        <v>1460382</v>
      </c>
    </row>
    <row r="45" spans="1:10" ht="2.1" customHeight="1" thickTop="1">
      <c r="C45" s="13"/>
      <c r="D45" s="13"/>
      <c r="E45" s="13"/>
      <c r="F45" s="13"/>
      <c r="G45" s="245"/>
      <c r="H45" s="246"/>
      <c r="I45" s="249"/>
    </row>
    <row r="46" spans="1:10">
      <c r="C46" s="13"/>
      <c r="D46" s="13"/>
      <c r="E46" s="13"/>
      <c r="F46" s="13"/>
      <c r="G46" s="251"/>
      <c r="H46" s="253"/>
      <c r="I46" s="249"/>
    </row>
    <row r="47" spans="1:10" hidden="1">
      <c r="A47" s="1"/>
      <c r="B47" s="1"/>
      <c r="C47" s="13"/>
      <c r="D47" s="13"/>
      <c r="E47" s="13"/>
      <c r="F47" s="245"/>
      <c r="H47">
        <f>SUM(H25-H44)</f>
        <v>0.17000000015832484</v>
      </c>
      <c r="I47" s="249"/>
    </row>
    <row r="48" spans="1:10" hidden="1">
      <c r="A48" s="1"/>
      <c r="B48" s="1"/>
      <c r="C48" s="13"/>
      <c r="D48" s="16"/>
      <c r="E48" s="13"/>
      <c r="F48" s="245"/>
      <c r="H48"/>
      <c r="I48" s="249"/>
    </row>
    <row r="49" spans="1:9" hidden="1">
      <c r="A49" s="1"/>
      <c r="B49" s="1"/>
      <c r="C49" s="13"/>
      <c r="D49" s="16"/>
      <c r="E49" s="13"/>
      <c r="F49" s="245"/>
      <c r="G49" s="251"/>
      <c r="H49" s="253">
        <f>SUM(H25-H44)</f>
        <v>0.17000000015832484</v>
      </c>
      <c r="I49" s="249"/>
    </row>
    <row r="50" spans="1:9">
      <c r="A50" s="1"/>
      <c r="B50" s="1"/>
      <c r="C50" s="13"/>
      <c r="D50" s="13"/>
      <c r="E50" s="13"/>
      <c r="F50" s="13"/>
      <c r="G50" s="129"/>
      <c r="H50" s="253"/>
      <c r="I50" s="249"/>
    </row>
    <row r="51" spans="1:9">
      <c r="A51" s="1"/>
      <c r="B51" s="97"/>
      <c r="C51" s="13"/>
      <c r="D51" s="13"/>
      <c r="E51" s="13"/>
      <c r="F51" s="13"/>
      <c r="G51" s="129"/>
      <c r="H51" s="253"/>
      <c r="I51" s="249"/>
    </row>
    <row r="52" spans="1:9">
      <c r="A52" s="1"/>
      <c r="B52" s="1"/>
      <c r="C52" s="13"/>
      <c r="D52" s="13"/>
      <c r="E52" s="13"/>
      <c r="F52" s="13"/>
      <c r="G52" s="13"/>
    </row>
    <row r="53" spans="1:9">
      <c r="A53" s="1"/>
      <c r="B53" s="1"/>
      <c r="C53" s="13"/>
      <c r="D53" s="13"/>
      <c r="E53" s="13"/>
      <c r="F53" s="13"/>
      <c r="G53" s="13"/>
    </row>
    <row r="54" spans="1:9">
      <c r="A54" s="1"/>
      <c r="B54" s="1"/>
      <c r="C54" s="13"/>
      <c r="D54" s="13"/>
      <c r="E54" s="13"/>
      <c r="F54" s="13"/>
      <c r="G54" s="13"/>
    </row>
    <row r="55" spans="1:9">
      <c r="A55" s="1"/>
      <c r="B55" s="1"/>
      <c r="C55" s="13"/>
      <c r="D55" s="13"/>
      <c r="E55" s="13"/>
      <c r="F55" s="13"/>
      <c r="G55" s="13"/>
    </row>
    <row r="56" spans="1:9">
      <c r="A56" s="1"/>
      <c r="B56" s="1"/>
      <c r="C56" s="13"/>
      <c r="D56" s="13"/>
      <c r="E56" s="13"/>
      <c r="F56" s="13"/>
      <c r="G56" s="13"/>
      <c r="H56" s="27" t="s">
        <v>158</v>
      </c>
    </row>
    <row r="57" spans="1:9">
      <c r="A57" s="1"/>
      <c r="B57" s="1"/>
      <c r="C57" s="13"/>
      <c r="D57" s="13"/>
      <c r="E57" s="13"/>
      <c r="F57" s="13"/>
      <c r="G57" s="13"/>
    </row>
    <row r="58" spans="1:9">
      <c r="A58" s="1"/>
      <c r="B58" s="1"/>
      <c r="C58" s="13"/>
      <c r="D58" s="13"/>
      <c r="E58" s="13"/>
      <c r="F58" s="13"/>
      <c r="G58" s="13"/>
    </row>
    <row r="59" spans="1:9">
      <c r="A59" s="1"/>
      <c r="B59" s="1"/>
      <c r="C59" s="13"/>
      <c r="D59" s="13"/>
      <c r="E59" s="13"/>
      <c r="F59" s="13"/>
      <c r="G59" s="13"/>
    </row>
    <row r="60" spans="1:9">
      <c r="A60" s="1"/>
      <c r="B60" s="1"/>
      <c r="C60" s="13"/>
      <c r="D60" s="13"/>
      <c r="E60" s="13"/>
      <c r="F60" s="13"/>
      <c r="G60" s="13"/>
    </row>
    <row r="61" spans="1:9">
      <c r="A61" s="1"/>
      <c r="B61" s="1"/>
      <c r="C61" s="13"/>
      <c r="D61" s="13"/>
      <c r="E61" s="13"/>
      <c r="F61" s="13"/>
      <c r="G61" s="13"/>
    </row>
    <row r="62" spans="1:9">
      <c r="A62" s="214"/>
      <c r="B62" s="214"/>
      <c r="C62" s="21"/>
      <c r="D62" s="21"/>
      <c r="E62" s="21"/>
      <c r="F62" s="21"/>
      <c r="G62" s="21"/>
      <c r="H62" s="105"/>
      <c r="I62" s="116"/>
    </row>
    <row r="63" spans="1:9">
      <c r="A63" s="214"/>
      <c r="B63" s="214"/>
      <c r="C63" s="21"/>
      <c r="D63" s="21"/>
      <c r="E63" s="21"/>
      <c r="F63" s="21"/>
      <c r="G63" s="21"/>
      <c r="H63" s="105"/>
    </row>
    <row r="64" spans="1:9">
      <c r="A64" s="214"/>
      <c r="B64" s="214"/>
      <c r="C64" s="21"/>
      <c r="D64" s="21"/>
      <c r="E64" s="21"/>
      <c r="F64" s="21"/>
      <c r="G64" s="21"/>
      <c r="H64" s="105"/>
      <c r="I64" s="116"/>
    </row>
    <row r="65" spans="1:9">
      <c r="A65" s="214"/>
      <c r="B65" s="214"/>
      <c r="C65" s="21"/>
      <c r="D65" s="21"/>
      <c r="E65" s="21"/>
      <c r="F65" s="21"/>
      <c r="G65" s="21"/>
      <c r="H65" s="105"/>
      <c r="I65" s="116"/>
    </row>
    <row r="66" spans="1:9">
      <c r="A66" s="214"/>
      <c r="B66" s="214"/>
      <c r="C66" s="21"/>
      <c r="D66" s="21"/>
      <c r="E66" s="21"/>
      <c r="F66" s="21"/>
      <c r="G66" s="21"/>
      <c r="H66" s="105"/>
      <c r="I66" s="116"/>
    </row>
    <row r="67" spans="1:9">
      <c r="A67" s="214"/>
      <c r="B67" s="214"/>
      <c r="C67" s="21"/>
      <c r="D67" s="21"/>
      <c r="E67" s="21"/>
      <c r="F67" s="21"/>
      <c r="G67" s="21"/>
      <c r="H67" s="105"/>
      <c r="I67" s="116"/>
    </row>
    <row r="68" spans="1:9">
      <c r="A68" s="214"/>
      <c r="B68" s="214"/>
      <c r="C68" s="21"/>
      <c r="D68" s="21"/>
      <c r="E68" s="21"/>
      <c r="F68" s="21"/>
      <c r="G68" s="21"/>
      <c r="H68" s="105"/>
      <c r="I68" s="116"/>
    </row>
    <row r="69" spans="1:9">
      <c r="A69" s="214"/>
      <c r="B69" s="214"/>
      <c r="C69" s="21"/>
      <c r="D69" s="21"/>
      <c r="E69" s="21"/>
      <c r="F69" s="21"/>
      <c r="G69" s="21"/>
      <c r="H69" s="105"/>
      <c r="I69" s="116"/>
    </row>
    <row r="70" spans="1:9">
      <c r="A70" s="1"/>
      <c r="B70" s="1"/>
      <c r="C70" s="13"/>
      <c r="D70" s="13"/>
      <c r="E70" s="13"/>
      <c r="F70" s="13"/>
      <c r="G70" s="13"/>
    </row>
    <row r="71" spans="1:9">
      <c r="A71" s="1"/>
      <c r="B71" s="1"/>
      <c r="C71" s="13"/>
      <c r="D71" s="13"/>
      <c r="E71" s="13"/>
      <c r="F71" s="13"/>
      <c r="G71" s="13"/>
    </row>
    <row r="72" spans="1:9">
      <c r="A72" s="1"/>
      <c r="B72" s="1"/>
      <c r="C72" s="13"/>
      <c r="D72" s="13"/>
      <c r="E72" s="13"/>
      <c r="F72" s="13"/>
      <c r="G72" s="13"/>
    </row>
    <row r="73" spans="1:9">
      <c r="A73" s="1"/>
      <c r="B73" s="1"/>
      <c r="C73" s="13"/>
      <c r="D73" s="13"/>
      <c r="E73" s="13"/>
      <c r="F73" s="13"/>
      <c r="G73" s="13"/>
    </row>
    <row r="74" spans="1:9">
      <c r="A74" s="1"/>
      <c r="B74" s="1"/>
      <c r="C74" s="13"/>
      <c r="D74" s="13"/>
      <c r="E74" s="13"/>
      <c r="F74" s="13"/>
      <c r="G74" s="13"/>
      <c r="H74" s="211"/>
    </row>
    <row r="75" spans="1:9">
      <c r="A75" s="1"/>
      <c r="B75" s="1"/>
      <c r="C75" s="13"/>
      <c r="D75" s="13"/>
      <c r="E75" s="13"/>
      <c r="F75" s="13"/>
      <c r="G75" s="13"/>
      <c r="H75" s="211"/>
    </row>
    <row r="76" spans="1:9">
      <c r="A76" s="1"/>
      <c r="B76" s="1"/>
      <c r="C76" s="13"/>
      <c r="D76" s="13"/>
      <c r="E76" s="13"/>
      <c r="F76" s="13"/>
      <c r="G76" s="13"/>
      <c r="H76" s="211"/>
    </row>
    <row r="77" spans="1:9">
      <c r="A77" s="1"/>
      <c r="B77" s="1"/>
      <c r="C77" s="13"/>
      <c r="D77" s="13"/>
      <c r="E77" s="13"/>
      <c r="F77" s="13"/>
      <c r="G77" s="13"/>
      <c r="H77" s="211"/>
    </row>
    <row r="78" spans="1:9">
      <c r="A78" s="1"/>
      <c r="B78" s="1"/>
      <c r="C78" s="13"/>
      <c r="D78" s="13"/>
      <c r="E78" s="13"/>
      <c r="F78" s="13"/>
      <c r="G78" s="13"/>
      <c r="H78" s="211"/>
    </row>
    <row r="79" spans="1:9">
      <c r="A79" s="1"/>
      <c r="B79" s="1"/>
      <c r="C79" s="13"/>
      <c r="D79" s="13"/>
      <c r="E79" s="13"/>
      <c r="F79" s="13"/>
      <c r="G79" s="13"/>
      <c r="H79" s="211"/>
    </row>
    <row r="80" spans="1:9">
      <c r="A80" s="1"/>
      <c r="B80" s="1"/>
      <c r="C80" s="13"/>
      <c r="D80" s="13"/>
      <c r="E80" s="13"/>
      <c r="F80" s="13"/>
      <c r="G80" s="13"/>
      <c r="H80" s="211"/>
    </row>
    <row r="81" spans="1:8">
      <c r="A81" s="1"/>
      <c r="B81" s="1"/>
      <c r="C81" s="13"/>
      <c r="D81" s="13"/>
      <c r="E81" s="13"/>
      <c r="F81" s="13"/>
      <c r="G81" s="13"/>
      <c r="H81" s="211"/>
    </row>
    <row r="82" spans="1:8">
      <c r="A82" s="1"/>
      <c r="B82" s="1"/>
      <c r="C82" s="13"/>
      <c r="D82" s="13"/>
      <c r="E82" s="13"/>
      <c r="F82" s="13"/>
      <c r="G82" s="13"/>
      <c r="H82" s="211"/>
    </row>
    <row r="83" spans="1:8">
      <c r="A83" s="1"/>
      <c r="B83" s="1"/>
      <c r="C83" s="13"/>
      <c r="D83" s="13"/>
      <c r="E83" s="13"/>
      <c r="F83" s="13"/>
      <c r="G83" s="13"/>
      <c r="H83" s="211"/>
    </row>
    <row r="84" spans="1:8">
      <c r="A84" s="1"/>
      <c r="B84" s="1"/>
      <c r="C84" s="13"/>
      <c r="D84" s="13"/>
      <c r="E84" s="13"/>
      <c r="F84" s="13"/>
      <c r="G84" s="13"/>
      <c r="H84" s="211">
        <f t="shared" ref="H84:H89" si="0">F84-G84</f>
        <v>0</v>
      </c>
    </row>
    <row r="85" spans="1:8">
      <c r="A85" s="1"/>
      <c r="B85" s="1"/>
      <c r="C85" s="13"/>
      <c r="D85" s="13"/>
      <c r="E85" s="13"/>
      <c r="F85" s="13"/>
      <c r="G85" s="13"/>
      <c r="H85" s="211">
        <f t="shared" si="0"/>
        <v>0</v>
      </c>
    </row>
    <row r="86" spans="1:8">
      <c r="A86" s="1"/>
      <c r="B86" s="1"/>
      <c r="C86" s="13"/>
      <c r="D86" s="13"/>
      <c r="E86" s="13"/>
      <c r="F86" s="13"/>
      <c r="G86" s="13"/>
      <c r="H86" s="211">
        <f t="shared" si="0"/>
        <v>0</v>
      </c>
    </row>
    <row r="87" spans="1:8">
      <c r="A87" s="1"/>
      <c r="B87" s="1"/>
      <c r="C87" s="13"/>
      <c r="D87" s="13"/>
      <c r="E87" s="13"/>
      <c r="F87" s="13"/>
      <c r="G87" s="13"/>
      <c r="H87" s="211">
        <f t="shared" si="0"/>
        <v>0</v>
      </c>
    </row>
    <row r="88" spans="1:8">
      <c r="A88" s="1"/>
      <c r="B88" s="1"/>
      <c r="C88" s="13"/>
      <c r="D88" s="13"/>
      <c r="E88" s="13"/>
      <c r="F88" s="13"/>
      <c r="G88" s="13"/>
      <c r="H88" s="211">
        <f t="shared" si="0"/>
        <v>0</v>
      </c>
    </row>
    <row r="89" spans="1:8">
      <c r="A89" s="1"/>
      <c r="B89" s="1"/>
      <c r="C89" s="13"/>
      <c r="D89" s="13"/>
      <c r="E89" s="13"/>
      <c r="F89" s="13"/>
      <c r="G89" s="13"/>
      <c r="H89" s="211">
        <f t="shared" si="0"/>
        <v>0</v>
      </c>
    </row>
    <row r="90" spans="1:8">
      <c r="A90" s="1"/>
      <c r="B90" s="1"/>
      <c r="C90" s="13"/>
      <c r="D90" s="13"/>
      <c r="E90" s="13"/>
      <c r="F90" s="13"/>
      <c r="G90" s="13"/>
      <c r="H90" s="211"/>
    </row>
    <row r="91" spans="1:8">
      <c r="A91" s="1"/>
      <c r="B91" s="1"/>
      <c r="C91" s="13"/>
      <c r="D91" s="13"/>
      <c r="E91" s="13"/>
      <c r="F91" s="13"/>
      <c r="G91" s="13"/>
      <c r="H91" s="211"/>
    </row>
    <row r="92" spans="1:8">
      <c r="A92" s="1"/>
      <c r="B92" s="1"/>
      <c r="C92" s="13"/>
      <c r="D92" s="13"/>
      <c r="E92" s="13"/>
      <c r="F92" s="13"/>
      <c r="G92" s="13"/>
      <c r="H92" s="211"/>
    </row>
    <row r="93" spans="1:8">
      <c r="A93" s="1"/>
      <c r="B93" s="1"/>
      <c r="C93" s="13"/>
      <c r="D93" s="13"/>
      <c r="E93" s="13"/>
      <c r="F93" s="13"/>
      <c r="G93" s="13"/>
      <c r="H93" s="211"/>
    </row>
    <row r="94" spans="1:8">
      <c r="A94" s="1"/>
      <c r="B94" s="1"/>
      <c r="C94" s="13"/>
      <c r="D94" s="13"/>
      <c r="E94" s="13"/>
      <c r="F94" s="13"/>
      <c r="G94" s="13"/>
      <c r="H94" s="211"/>
    </row>
    <row r="95" spans="1:8">
      <c r="A95" s="1"/>
      <c r="B95" s="1"/>
      <c r="C95" s="13"/>
      <c r="D95" s="13"/>
      <c r="E95" s="13"/>
      <c r="F95" s="13"/>
      <c r="G95" s="13"/>
      <c r="H95" s="211"/>
    </row>
    <row r="96" spans="1:8">
      <c r="A96" s="1"/>
      <c r="B96" s="1"/>
      <c r="C96" s="13"/>
      <c r="D96" s="13"/>
      <c r="E96" s="13"/>
      <c r="F96" s="13"/>
      <c r="G96" s="13"/>
      <c r="H96" s="211"/>
    </row>
    <row r="97" spans="1:8">
      <c r="A97" s="1"/>
      <c r="B97" s="1"/>
      <c r="C97" s="1"/>
      <c r="D97" s="1"/>
      <c r="E97" s="1"/>
      <c r="F97" s="1"/>
      <c r="G97" s="1"/>
      <c r="H97" s="212"/>
    </row>
    <row r="98" spans="1:8">
      <c r="A98" s="1"/>
      <c r="B98" s="1"/>
      <c r="C98" s="1"/>
      <c r="D98" s="1"/>
      <c r="E98" s="1"/>
      <c r="F98" s="1"/>
      <c r="G98" s="1"/>
      <c r="H98" s="212"/>
    </row>
    <row r="99" spans="1:8">
      <c r="A99" s="1"/>
      <c r="B99" s="1"/>
      <c r="C99" s="1"/>
      <c r="D99" s="1"/>
      <c r="E99" s="1"/>
      <c r="F99" s="1"/>
      <c r="G99" s="1"/>
      <c r="H99" s="210"/>
    </row>
    <row r="100" spans="1:8">
      <c r="A100" s="1"/>
      <c r="B100" s="1"/>
      <c r="C100" s="1"/>
      <c r="D100" s="1"/>
      <c r="E100" s="1"/>
      <c r="F100" s="1"/>
      <c r="G100" s="1"/>
      <c r="H100" s="210"/>
    </row>
    <row r="101" spans="1:8">
      <c r="A101" s="1"/>
      <c r="B101" s="1"/>
      <c r="C101" s="1"/>
      <c r="D101" s="1"/>
      <c r="E101" s="1"/>
      <c r="F101" s="1"/>
      <c r="G101" s="1"/>
      <c r="H101" s="210">
        <f>F101-G101</f>
        <v>0</v>
      </c>
    </row>
    <row r="102" spans="1:8">
      <c r="A102" s="1"/>
      <c r="B102" s="1"/>
      <c r="C102" s="1"/>
      <c r="D102" s="1"/>
      <c r="E102" s="1"/>
      <c r="F102" s="1"/>
      <c r="G102" s="1"/>
      <c r="H102" s="210">
        <f t="shared" ref="H102:H117" si="1">F102-G102</f>
        <v>0</v>
      </c>
    </row>
    <row r="103" spans="1:8">
      <c r="A103" s="1"/>
      <c r="B103" s="1"/>
      <c r="C103" s="1"/>
      <c r="D103" s="1"/>
      <c r="E103" s="1"/>
      <c r="F103" s="1"/>
      <c r="G103" s="1"/>
      <c r="H103" s="210">
        <f t="shared" si="1"/>
        <v>0</v>
      </c>
    </row>
    <row r="104" spans="1:8">
      <c r="A104" s="1"/>
      <c r="B104" s="1"/>
      <c r="C104" s="1"/>
      <c r="D104" s="1"/>
      <c r="E104" s="1"/>
      <c r="F104" s="1"/>
      <c r="G104" s="1"/>
      <c r="H104" s="210">
        <f t="shared" si="1"/>
        <v>0</v>
      </c>
    </row>
    <row r="105" spans="1:8">
      <c r="A105" s="1"/>
      <c r="B105" s="1"/>
      <c r="C105" s="1"/>
      <c r="D105" s="1"/>
      <c r="E105" s="1"/>
      <c r="F105" s="1"/>
      <c r="G105" s="1"/>
      <c r="H105" s="210">
        <f t="shared" si="1"/>
        <v>0</v>
      </c>
    </row>
    <row r="106" spans="1:8">
      <c r="A106" s="1"/>
      <c r="B106" s="1"/>
      <c r="C106" s="1"/>
      <c r="D106" s="1"/>
      <c r="E106" s="1"/>
      <c r="F106" s="1"/>
      <c r="G106" s="1"/>
      <c r="H106" s="210"/>
    </row>
    <row r="107" spans="1:8">
      <c r="A107" s="1"/>
      <c r="B107" s="1"/>
      <c r="C107" s="1"/>
      <c r="D107" s="1"/>
      <c r="E107" s="1"/>
      <c r="F107" s="1"/>
      <c r="G107" s="1"/>
      <c r="H107" s="210">
        <f t="shared" si="1"/>
        <v>0</v>
      </c>
    </row>
    <row r="108" spans="1:8">
      <c r="A108" s="1"/>
      <c r="B108" s="1"/>
      <c r="C108" s="1"/>
      <c r="D108" s="1"/>
      <c r="E108" s="1"/>
      <c r="F108" s="1"/>
      <c r="G108" s="1"/>
      <c r="H108" s="210">
        <f t="shared" si="1"/>
        <v>0</v>
      </c>
    </row>
    <row r="109" spans="1:8">
      <c r="A109" s="1"/>
      <c r="B109" s="1"/>
      <c r="C109" s="1"/>
      <c r="D109" s="1"/>
      <c r="E109" s="1"/>
      <c r="F109" s="1"/>
      <c r="G109" s="1"/>
      <c r="H109" s="210">
        <f t="shared" si="1"/>
        <v>0</v>
      </c>
    </row>
    <row r="110" spans="1:8">
      <c r="A110" s="1"/>
      <c r="B110" s="1"/>
      <c r="C110" s="1"/>
      <c r="D110" s="1"/>
      <c r="E110" s="1"/>
      <c r="F110" s="1"/>
      <c r="G110" s="1"/>
      <c r="H110" s="210">
        <f t="shared" si="1"/>
        <v>0</v>
      </c>
    </row>
    <row r="111" spans="1:8">
      <c r="A111" s="1"/>
      <c r="B111" s="1"/>
      <c r="C111" s="1"/>
      <c r="D111" s="1"/>
      <c r="E111" s="1"/>
      <c r="F111" s="1"/>
      <c r="G111" s="1"/>
      <c r="H111" s="210">
        <f t="shared" si="1"/>
        <v>0</v>
      </c>
    </row>
    <row r="112" spans="1:8">
      <c r="A112" s="1"/>
      <c r="B112" s="1"/>
      <c r="C112" s="1"/>
      <c r="D112" s="1"/>
      <c r="E112" s="1"/>
      <c r="F112" s="1"/>
      <c r="G112" s="1"/>
      <c r="H112" s="210">
        <f t="shared" si="1"/>
        <v>0</v>
      </c>
    </row>
    <row r="113" spans="1:8">
      <c r="A113" s="1"/>
      <c r="B113" s="1"/>
      <c r="C113" s="1"/>
      <c r="D113" s="1"/>
      <c r="E113" s="1"/>
      <c r="F113" s="1"/>
      <c r="G113" s="1"/>
      <c r="H113" s="210">
        <f t="shared" si="1"/>
        <v>0</v>
      </c>
    </row>
    <row r="114" spans="1:8">
      <c r="A114" s="1"/>
      <c r="B114" s="1"/>
      <c r="C114" s="1"/>
      <c r="D114" s="1"/>
      <c r="E114" s="1"/>
      <c r="F114" s="1"/>
      <c r="G114" s="1"/>
      <c r="H114" s="210"/>
    </row>
    <row r="115" spans="1:8">
      <c r="A115" s="1"/>
      <c r="B115" s="1"/>
      <c r="C115" s="1"/>
      <c r="D115" s="1"/>
      <c r="E115" s="1"/>
      <c r="F115" s="1"/>
      <c r="G115" s="1"/>
      <c r="H115" s="210">
        <f t="shared" si="1"/>
        <v>0</v>
      </c>
    </row>
    <row r="116" spans="1:8">
      <c r="A116" s="1"/>
      <c r="B116" s="1"/>
      <c r="C116" s="1"/>
      <c r="D116" s="1"/>
      <c r="E116" s="1"/>
      <c r="F116" s="1"/>
      <c r="G116" s="1"/>
      <c r="H116" s="210">
        <f t="shared" si="1"/>
        <v>0</v>
      </c>
    </row>
    <row r="117" spans="1:8">
      <c r="A117" s="1"/>
      <c r="B117" s="1"/>
      <c r="C117" s="1"/>
      <c r="D117" s="1"/>
      <c r="E117" s="1"/>
      <c r="F117" s="1"/>
      <c r="G117" s="1"/>
      <c r="H117" s="210">
        <f t="shared" si="1"/>
        <v>0</v>
      </c>
    </row>
    <row r="118" spans="1:8">
      <c r="A118" s="1"/>
      <c r="B118" s="1"/>
      <c r="C118" s="1"/>
      <c r="D118" s="1"/>
      <c r="E118" s="1"/>
      <c r="F118" s="1"/>
      <c r="G118" s="1"/>
      <c r="H118" s="210"/>
    </row>
    <row r="119" spans="1:8">
      <c r="A119" s="1"/>
      <c r="B119" s="1"/>
      <c r="C119" s="1"/>
      <c r="D119" s="1"/>
      <c r="E119" s="1"/>
      <c r="F119" s="1"/>
      <c r="G119" s="1"/>
      <c r="H119" s="210"/>
    </row>
    <row r="120" spans="1:8">
      <c r="A120" s="1"/>
      <c r="B120" s="1"/>
      <c r="C120" s="1"/>
      <c r="D120" s="1"/>
      <c r="E120" s="1"/>
      <c r="F120" s="1"/>
      <c r="G120" s="1"/>
      <c r="H120" s="210"/>
    </row>
    <row r="121" spans="1:8">
      <c r="A121" s="1"/>
      <c r="B121" s="1"/>
      <c r="C121" s="1"/>
      <c r="D121" s="1"/>
      <c r="E121" s="1"/>
      <c r="F121" s="1"/>
      <c r="G121" s="1"/>
      <c r="H121" s="210">
        <f>+H39+H18+H11+H90+H120+H118+1</f>
        <v>1</v>
      </c>
    </row>
    <row r="122" spans="1:8">
      <c r="A122" s="1"/>
      <c r="B122" s="1"/>
      <c r="C122" s="1"/>
      <c r="D122" s="1"/>
      <c r="E122" s="1"/>
      <c r="F122" s="1"/>
      <c r="G122" s="1"/>
      <c r="H122" s="210"/>
    </row>
    <row r="123" spans="1:8">
      <c r="A123" s="1"/>
      <c r="B123" s="1"/>
      <c r="C123" s="1"/>
      <c r="D123" s="1"/>
      <c r="E123" s="1"/>
      <c r="F123" s="1"/>
      <c r="G123" s="1"/>
      <c r="H123" s="210"/>
    </row>
  </sheetData>
  <mergeCells count="5">
    <mergeCell ref="A3:J3"/>
    <mergeCell ref="A4:J4"/>
    <mergeCell ref="A5:J5"/>
    <mergeCell ref="A6:J6"/>
    <mergeCell ref="A7:J7"/>
  </mergeCells>
  <phoneticPr fontId="11" type="noConversion"/>
  <pageMargins left="0.5" right="0.25" top="0.5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/>
  <dimension ref="A1:Z160"/>
  <sheetViews>
    <sheetView view="pageBreakPreview" zoomScale="90" zoomScaleNormal="100" zoomScaleSheetLayoutView="90" workbookViewId="0">
      <selection activeCell="F27" sqref="F27"/>
    </sheetView>
  </sheetViews>
  <sheetFormatPr defaultRowHeight="12.75"/>
  <cols>
    <col min="2" max="2" width="45.7109375" customWidth="1"/>
    <col min="3" max="3" width="19.28515625" bestFit="1" customWidth="1"/>
    <col min="4" max="4" width="14" bestFit="1" customWidth="1"/>
    <col min="5" max="5" width="15.140625" bestFit="1" customWidth="1"/>
    <col min="6" max="6" width="15.42578125" bestFit="1" customWidth="1"/>
    <col min="7" max="7" width="16.42578125" style="123" customWidth="1"/>
  </cols>
  <sheetData>
    <row r="1" spans="1:18">
      <c r="C1" s="400"/>
      <c r="D1" s="400"/>
      <c r="E1" s="400"/>
      <c r="F1" s="400"/>
      <c r="G1" s="400"/>
    </row>
    <row r="2" spans="1:18" s="193" customFormat="1">
      <c r="A2" s="393" t="s">
        <v>1</v>
      </c>
      <c r="B2" s="394"/>
      <c r="C2" s="394"/>
      <c r="D2" s="394"/>
      <c r="E2" s="394"/>
      <c r="F2" s="394"/>
      <c r="G2" s="394"/>
      <c r="I2" s="273"/>
      <c r="J2" s="249"/>
      <c r="K2" s="249"/>
    </row>
    <row r="3" spans="1:18" s="193" customFormat="1">
      <c r="A3" s="395" t="s">
        <v>198</v>
      </c>
      <c r="B3" s="394"/>
      <c r="C3" s="394"/>
      <c r="D3" s="394"/>
      <c r="E3" s="394"/>
      <c r="F3" s="394"/>
      <c r="G3" s="394"/>
      <c r="J3" s="249"/>
      <c r="K3" s="249"/>
    </row>
    <row r="4" spans="1:18" s="193" customFormat="1">
      <c r="A4" s="396" t="s">
        <v>12</v>
      </c>
      <c r="B4" s="394"/>
      <c r="C4" s="394"/>
      <c r="D4" s="394"/>
      <c r="E4" s="394"/>
      <c r="F4" s="394"/>
      <c r="G4" s="394"/>
      <c r="H4" s="195"/>
      <c r="I4" s="275"/>
      <c r="J4" s="276"/>
      <c r="K4" s="276"/>
      <c r="L4" s="277"/>
      <c r="M4" s="277"/>
      <c r="N4" s="277"/>
      <c r="O4" s="277"/>
      <c r="P4" s="277"/>
      <c r="Q4" s="277"/>
    </row>
    <row r="5" spans="1:18" s="193" customFormat="1">
      <c r="A5" s="397" t="str">
        <f>'income statement'!B5</f>
        <v>Nine Months Ended September 30, 2018</v>
      </c>
      <c r="B5" s="394"/>
      <c r="C5" s="394"/>
      <c r="D5" s="394"/>
      <c r="E5" s="394"/>
      <c r="F5" s="394"/>
      <c r="G5" s="394"/>
      <c r="H5" s="278"/>
      <c r="I5" s="275"/>
      <c r="J5" s="276"/>
      <c r="K5" s="276"/>
      <c r="L5" s="277"/>
      <c r="M5" s="277"/>
      <c r="N5" s="277"/>
      <c r="O5" s="277"/>
      <c r="P5" s="277"/>
      <c r="Q5" s="277"/>
    </row>
    <row r="6" spans="1:18" hidden="1">
      <c r="B6" s="400" t="s">
        <v>144</v>
      </c>
      <c r="C6" s="400"/>
      <c r="D6" s="400"/>
      <c r="E6" s="400"/>
      <c r="F6" s="117"/>
      <c r="G6" s="318"/>
      <c r="H6" s="117"/>
    </row>
    <row r="7" spans="1:18">
      <c r="A7" s="398" t="s">
        <v>221</v>
      </c>
      <c r="B7" s="399"/>
      <c r="C7" s="399"/>
      <c r="D7" s="399"/>
      <c r="E7" s="399"/>
      <c r="F7" s="399"/>
      <c r="G7" s="399"/>
    </row>
    <row r="8" spans="1:18">
      <c r="B8" s="5"/>
      <c r="C8" s="134">
        <v>501409.52</v>
      </c>
      <c r="D8" s="5"/>
      <c r="E8" s="5"/>
      <c r="F8" s="5"/>
    </row>
    <row r="9" spans="1:18">
      <c r="B9" s="4"/>
      <c r="C9" s="135">
        <v>1928204.72</v>
      </c>
      <c r="D9" s="4"/>
      <c r="E9" s="4"/>
      <c r="F9" s="13"/>
    </row>
    <row r="10" spans="1:18">
      <c r="B10" s="4"/>
      <c r="C10" s="4"/>
      <c r="D10" s="31"/>
      <c r="E10" s="100"/>
      <c r="F10" s="13"/>
      <c r="H10" s="122"/>
    </row>
    <row r="11" spans="1:18">
      <c r="B11" s="29"/>
      <c r="C11" s="30">
        <v>43101</v>
      </c>
      <c r="D11" s="31"/>
      <c r="E11" s="30"/>
      <c r="F11" s="358">
        <v>43373</v>
      </c>
      <c r="G11" s="30">
        <v>43008</v>
      </c>
      <c r="H11" s="122"/>
      <c r="I11" s="24"/>
    </row>
    <row r="12" spans="1:18">
      <c r="B12" s="29"/>
      <c r="C12" s="81" t="s">
        <v>13</v>
      </c>
      <c r="D12" s="81" t="s">
        <v>14</v>
      </c>
      <c r="E12" s="81" t="s">
        <v>14</v>
      </c>
      <c r="F12" s="101" t="s">
        <v>15</v>
      </c>
      <c r="G12" s="101" t="s">
        <v>15</v>
      </c>
      <c r="H12" s="124"/>
      <c r="I12" s="25"/>
    </row>
    <row r="13" spans="1:18">
      <c r="B13" s="29"/>
      <c r="C13" s="34" t="s">
        <v>16</v>
      </c>
      <c r="D13" s="34" t="s">
        <v>17</v>
      </c>
      <c r="E13" s="34" t="s">
        <v>18</v>
      </c>
      <c r="F13" s="32" t="s">
        <v>16</v>
      </c>
      <c r="G13" s="32" t="s">
        <v>16</v>
      </c>
      <c r="H13" s="122"/>
    </row>
    <row r="14" spans="1:18">
      <c r="B14" s="272" t="s">
        <v>193</v>
      </c>
      <c r="C14" s="10"/>
      <c r="D14" s="10"/>
      <c r="E14" s="10"/>
      <c r="F14" s="7"/>
      <c r="G14" s="268"/>
      <c r="H14" s="119"/>
      <c r="I14" s="7"/>
      <c r="L14" s="7"/>
      <c r="M14" s="7"/>
      <c r="N14" s="7"/>
      <c r="O14" s="7"/>
      <c r="P14" s="7"/>
      <c r="Q14" s="7"/>
      <c r="R14" s="7"/>
    </row>
    <row r="15" spans="1:18">
      <c r="B15" s="4" t="s">
        <v>108</v>
      </c>
      <c r="C15" s="108">
        <v>1307661</v>
      </c>
      <c r="D15" s="113">
        <f>+'income statement'!F12</f>
        <v>1197185.8899999999</v>
      </c>
      <c r="E15" s="108">
        <f>-'income statement'!F39-E16-E19-E25-E17-E20-E21</f>
        <v>-544456.54999999993</v>
      </c>
      <c r="F15" s="108">
        <f>SUM(C15:E15)+0</f>
        <v>1960390.3399999999</v>
      </c>
      <c r="G15" s="108">
        <f>1335559+125</f>
        <v>1335684</v>
      </c>
      <c r="H15" s="119"/>
      <c r="I15" s="7"/>
      <c r="L15" s="7"/>
      <c r="M15" s="7"/>
      <c r="N15" s="7"/>
      <c r="O15" s="7"/>
      <c r="P15" s="7"/>
      <c r="Q15" s="7"/>
      <c r="R15" s="7"/>
    </row>
    <row r="16" spans="1:18">
      <c r="B16" s="29" t="s">
        <v>29</v>
      </c>
      <c r="C16" s="112">
        <v>0</v>
      </c>
      <c r="D16" s="112">
        <f>+'income statement'!F13</f>
        <v>8318.8700000000008</v>
      </c>
      <c r="E16" s="112">
        <f>-D16</f>
        <v>-8318.8700000000008</v>
      </c>
      <c r="F16" s="111">
        <f t="shared" ref="F16:F25" si="0">SUM(C16:E16)</f>
        <v>0</v>
      </c>
      <c r="G16" s="111">
        <v>0</v>
      </c>
      <c r="H16" s="119"/>
      <c r="I16" s="7"/>
      <c r="L16" s="7"/>
      <c r="M16" s="7"/>
      <c r="N16" s="7"/>
      <c r="O16" s="7"/>
      <c r="P16" s="7"/>
      <c r="Q16" s="7"/>
      <c r="R16" s="7"/>
    </row>
    <row r="17" spans="2:26" hidden="1">
      <c r="B17" s="166" t="s">
        <v>143</v>
      </c>
      <c r="C17" s="111">
        <v>0</v>
      </c>
      <c r="D17" s="111">
        <v>0</v>
      </c>
      <c r="E17" s="111">
        <v>0</v>
      </c>
      <c r="F17" s="111">
        <f t="shared" si="0"/>
        <v>0</v>
      </c>
      <c r="G17" s="111">
        <v>0</v>
      </c>
      <c r="H17" s="119"/>
      <c r="I17" s="7"/>
      <c r="L17" s="7"/>
      <c r="M17" s="7"/>
      <c r="N17" s="7"/>
      <c r="O17" s="7"/>
      <c r="P17" s="7"/>
      <c r="Q17" s="7"/>
      <c r="R17" s="7"/>
    </row>
    <row r="18" spans="2:26" hidden="1">
      <c r="B18" s="29" t="s">
        <v>119</v>
      </c>
      <c r="C18" s="111">
        <v>0</v>
      </c>
      <c r="D18" s="111">
        <v>0</v>
      </c>
      <c r="E18" s="112">
        <f>-D18</f>
        <v>0</v>
      </c>
      <c r="F18" s="111">
        <f t="shared" si="0"/>
        <v>0</v>
      </c>
      <c r="G18" s="111">
        <v>0</v>
      </c>
      <c r="H18" s="147"/>
      <c r="I18" s="17"/>
      <c r="L18" s="17"/>
      <c r="M18" s="17"/>
      <c r="N18" s="17"/>
      <c r="O18" s="17"/>
      <c r="P18" s="17"/>
      <c r="Q18" s="17"/>
      <c r="R18" s="17"/>
      <c r="S18" s="18"/>
      <c r="T18" s="18"/>
      <c r="U18" s="18"/>
      <c r="V18" s="18"/>
      <c r="W18" s="18"/>
      <c r="X18" s="18"/>
      <c r="Y18" s="18"/>
      <c r="Z18" s="18"/>
    </row>
    <row r="19" spans="2:26">
      <c r="B19" s="29" t="s">
        <v>153</v>
      </c>
      <c r="C19" s="111">
        <v>0</v>
      </c>
      <c r="D19" s="111">
        <f>+'income statement'!F14+'income statement'!F15+'income statement'!F16</f>
        <v>1377.8999999999994</v>
      </c>
      <c r="E19" s="112">
        <f>-D19</f>
        <v>-1377.8999999999994</v>
      </c>
      <c r="F19" s="111">
        <f t="shared" si="0"/>
        <v>0</v>
      </c>
      <c r="G19" s="111">
        <v>0</v>
      </c>
      <c r="H19" s="147"/>
      <c r="I19" s="17"/>
      <c r="L19" s="17"/>
      <c r="M19" s="17"/>
      <c r="N19" s="17"/>
      <c r="O19" s="17"/>
      <c r="P19" s="17"/>
      <c r="Q19" s="17"/>
      <c r="R19" s="17"/>
      <c r="S19" s="18"/>
      <c r="T19" s="18"/>
      <c r="U19" s="18"/>
      <c r="V19" s="18"/>
      <c r="W19" s="18"/>
      <c r="X19" s="18"/>
      <c r="Y19" s="18"/>
      <c r="Z19" s="18"/>
    </row>
    <row r="20" spans="2:26">
      <c r="B20" s="29" t="s">
        <v>162</v>
      </c>
      <c r="C20" s="111">
        <v>0</v>
      </c>
      <c r="D20" s="111">
        <f>'income statement'!F18</f>
        <v>0</v>
      </c>
      <c r="E20" s="112">
        <f>('income statement'!F18)*-1</f>
        <v>0</v>
      </c>
      <c r="F20" s="111">
        <f t="shared" si="0"/>
        <v>0</v>
      </c>
      <c r="G20" s="111">
        <v>0</v>
      </c>
      <c r="H20" s="147"/>
      <c r="I20" s="17"/>
      <c r="L20" s="17"/>
      <c r="M20" s="17"/>
      <c r="N20" s="17"/>
      <c r="O20" s="17"/>
      <c r="P20" s="17"/>
      <c r="Q20" s="17"/>
      <c r="R20" s="17"/>
      <c r="S20" s="18"/>
      <c r="T20" s="18"/>
      <c r="U20" s="18"/>
      <c r="V20" s="18"/>
      <c r="W20" s="18"/>
      <c r="X20" s="18"/>
      <c r="Y20" s="18"/>
      <c r="Z20" s="18"/>
    </row>
    <row r="21" spans="2:26">
      <c r="B21" s="29" t="s">
        <v>161</v>
      </c>
      <c r="C21" s="111">
        <v>0</v>
      </c>
      <c r="D21" s="111">
        <f>'income statement'!F17</f>
        <v>0</v>
      </c>
      <c r="E21" s="112">
        <f>('income statement'!F17)*-1</f>
        <v>0</v>
      </c>
      <c r="F21" s="111">
        <f t="shared" si="0"/>
        <v>0</v>
      </c>
      <c r="G21" s="111">
        <v>0</v>
      </c>
      <c r="H21" s="147"/>
      <c r="I21" s="17"/>
      <c r="L21" s="17"/>
      <c r="M21" s="17"/>
      <c r="N21" s="17"/>
      <c r="O21" s="17"/>
      <c r="P21" s="17"/>
      <c r="Q21" s="17"/>
      <c r="R21" s="17"/>
      <c r="S21" s="18"/>
      <c r="T21" s="18"/>
      <c r="U21" s="18"/>
      <c r="V21" s="18"/>
      <c r="W21" s="18"/>
      <c r="X21" s="18"/>
      <c r="Y21" s="18"/>
      <c r="Z21" s="18"/>
    </row>
    <row r="22" spans="2:26">
      <c r="B22" s="272" t="s">
        <v>185</v>
      </c>
      <c r="C22" s="111">
        <v>0</v>
      </c>
      <c r="D22" s="111">
        <f>'income statement'!F21</f>
        <v>10000</v>
      </c>
      <c r="E22" s="112"/>
      <c r="F22" s="111">
        <f t="shared" si="0"/>
        <v>10000</v>
      </c>
      <c r="G22" s="111">
        <v>0</v>
      </c>
      <c r="H22" s="147"/>
      <c r="I22" s="17"/>
      <c r="L22" s="17"/>
      <c r="M22" s="17"/>
      <c r="N22" s="17"/>
      <c r="O22" s="17"/>
      <c r="P22" s="17"/>
      <c r="Q22" s="17"/>
      <c r="R22" s="17"/>
      <c r="S22" s="18"/>
      <c r="T22" s="18"/>
      <c r="U22" s="18"/>
      <c r="V22" s="18"/>
      <c r="W22" s="18"/>
      <c r="X22" s="18"/>
      <c r="Y22" s="18"/>
      <c r="Z22" s="18"/>
    </row>
    <row r="23" spans="2:26" s="361" customFormat="1">
      <c r="B23" s="272" t="s">
        <v>239</v>
      </c>
      <c r="C23" s="111">
        <v>0</v>
      </c>
      <c r="D23" s="111">
        <f>'income statement'!F19</f>
        <v>3612.15</v>
      </c>
      <c r="E23" s="112"/>
      <c r="F23" s="111">
        <f t="shared" si="0"/>
        <v>3612.15</v>
      </c>
      <c r="G23" s="111">
        <v>0</v>
      </c>
      <c r="H23" s="147"/>
      <c r="I23" s="17"/>
      <c r="L23" s="17"/>
      <c r="M23" s="17"/>
      <c r="N23" s="17"/>
      <c r="O23" s="17"/>
      <c r="P23" s="17"/>
      <c r="Q23" s="17"/>
      <c r="R23" s="17"/>
      <c r="S23" s="18"/>
      <c r="T23" s="18"/>
      <c r="U23" s="18"/>
      <c r="V23" s="18"/>
      <c r="W23" s="18"/>
      <c r="X23" s="18"/>
      <c r="Y23" s="18"/>
      <c r="Z23" s="18"/>
    </row>
    <row r="24" spans="2:26" s="374" customFormat="1">
      <c r="B24" s="272" t="s">
        <v>264</v>
      </c>
      <c r="C24" s="383"/>
      <c r="D24" s="383"/>
      <c r="E24" s="384">
        <f>'income statement'!F24</f>
        <v>-82949.179999999993</v>
      </c>
      <c r="F24" s="383">
        <f t="shared" si="0"/>
        <v>-82949.179999999993</v>
      </c>
      <c r="G24" s="383">
        <v>-75136</v>
      </c>
      <c r="H24" s="147"/>
      <c r="I24" s="17"/>
      <c r="L24" s="17"/>
      <c r="M24" s="17"/>
      <c r="N24" s="17"/>
      <c r="O24" s="17"/>
      <c r="P24" s="17"/>
      <c r="Q24" s="17"/>
      <c r="R24" s="17"/>
      <c r="S24" s="18"/>
      <c r="T24" s="18"/>
      <c r="U24" s="18"/>
      <c r="V24" s="18"/>
      <c r="W24" s="18"/>
      <c r="X24" s="18"/>
      <c r="Y24" s="18"/>
      <c r="Z24" s="18"/>
    </row>
    <row r="25" spans="2:26">
      <c r="B25" s="29" t="s">
        <v>106</v>
      </c>
      <c r="C25" s="111">
        <v>0</v>
      </c>
      <c r="D25" s="112"/>
      <c r="E25" s="132">
        <f>'income statement'!F38*-1</f>
        <v>11250</v>
      </c>
      <c r="F25" s="111">
        <f t="shared" si="0"/>
        <v>11250</v>
      </c>
      <c r="G25" s="111">
        <v>50750</v>
      </c>
      <c r="H25" s="151"/>
      <c r="I25" s="17"/>
      <c r="L25" s="17"/>
      <c r="M25" s="17"/>
      <c r="N25" s="17"/>
      <c r="O25" s="17"/>
      <c r="P25" s="17"/>
      <c r="Q25" s="17"/>
      <c r="R25" s="17"/>
      <c r="S25" s="18"/>
      <c r="T25" s="18"/>
      <c r="U25" s="18"/>
      <c r="V25" s="18"/>
      <c r="W25" s="18"/>
      <c r="X25" s="18"/>
      <c r="Y25" s="18"/>
      <c r="Z25" s="18"/>
    </row>
    <row r="26" spans="2:26">
      <c r="B26" s="166" t="s">
        <v>174</v>
      </c>
      <c r="C26" s="111">
        <v>0</v>
      </c>
      <c r="D26" s="111"/>
      <c r="E26" s="132">
        <f>SUM('income statement'!F40)*-1</f>
        <v>-35678.97</v>
      </c>
      <c r="F26" s="111">
        <f>C26+E26</f>
        <v>-35678.97</v>
      </c>
      <c r="G26" s="111">
        <v>-50329</v>
      </c>
      <c r="H26" s="151"/>
      <c r="I26" s="17"/>
      <c r="L26" s="17"/>
      <c r="M26" s="17"/>
      <c r="N26" s="17"/>
      <c r="O26" s="17"/>
      <c r="P26" s="17"/>
      <c r="Q26" s="17"/>
      <c r="R26" s="17"/>
      <c r="S26" s="18"/>
      <c r="T26" s="18"/>
      <c r="U26" s="18"/>
      <c r="V26" s="18"/>
      <c r="W26" s="18"/>
      <c r="X26" s="18"/>
      <c r="Y26" s="18"/>
      <c r="Z26" s="18"/>
    </row>
    <row r="27" spans="2:26" ht="13.5" thickBot="1">
      <c r="B27" s="29" t="s">
        <v>19</v>
      </c>
      <c r="C27" s="176">
        <f>SUM(C15:C26)</f>
        <v>1307661</v>
      </c>
      <c r="D27" s="176">
        <f>SUM(D15:D26)</f>
        <v>1220494.8099999998</v>
      </c>
      <c r="E27" s="176">
        <f>SUM(E15:E26)</f>
        <v>-661531.47</v>
      </c>
      <c r="F27" s="176">
        <f>SUM(F15:F26)</f>
        <v>1866624.3399999999</v>
      </c>
      <c r="G27" s="176">
        <f>SUM(G15:G26)</f>
        <v>1260969</v>
      </c>
      <c r="H27" s="150"/>
      <c r="I27" s="19"/>
      <c r="L27" s="19"/>
      <c r="M27" s="19"/>
      <c r="N27" s="19"/>
      <c r="O27" s="19"/>
      <c r="P27" s="19"/>
      <c r="Q27" s="19"/>
      <c r="R27" s="19"/>
      <c r="S27" s="15"/>
      <c r="T27" s="18"/>
      <c r="U27" s="18"/>
      <c r="V27" s="18"/>
      <c r="W27" s="18"/>
      <c r="X27" s="18"/>
      <c r="Y27" s="18"/>
      <c r="Z27" s="18"/>
    </row>
    <row r="28" spans="2:26" ht="13.5" thickTop="1">
      <c r="B28" s="22"/>
      <c r="C28" s="125"/>
      <c r="D28" s="125"/>
      <c r="E28" s="125"/>
      <c r="F28" s="126"/>
      <c r="G28" s="193"/>
      <c r="H28" s="151"/>
      <c r="I28" s="7"/>
      <c r="L28" s="7"/>
      <c r="M28" s="7"/>
      <c r="N28" s="7"/>
      <c r="O28" s="7"/>
      <c r="P28" s="7"/>
      <c r="Q28" s="7"/>
      <c r="R28" s="7"/>
    </row>
    <row r="29" spans="2:26">
      <c r="B29" s="22"/>
      <c r="C29" s="130"/>
      <c r="D29" s="130"/>
      <c r="E29" s="164">
        <f>+'income statement'!F39</f>
        <v>542903.31999999995</v>
      </c>
      <c r="G29" s="193"/>
      <c r="H29" s="119"/>
      <c r="I29" s="7"/>
      <c r="J29" s="7"/>
      <c r="K29" s="7"/>
      <c r="L29" s="7"/>
      <c r="M29" s="7"/>
      <c r="N29" s="7"/>
      <c r="O29" s="7"/>
      <c r="P29" s="7"/>
      <c r="Q29" s="7"/>
      <c r="R29" s="7"/>
    </row>
    <row r="30" spans="2:26">
      <c r="B30" s="11"/>
      <c r="C30" s="128"/>
      <c r="D30" s="128"/>
      <c r="E30" s="165"/>
      <c r="G30" s="193"/>
      <c r="H30" s="119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2:26">
      <c r="C31" s="128"/>
      <c r="D31" s="128"/>
      <c r="E31" s="165"/>
      <c r="F31" s="128"/>
      <c r="G31" s="193"/>
      <c r="H31" s="119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2:26">
      <c r="B32" s="11"/>
      <c r="C32" s="128"/>
      <c r="D32" s="128"/>
      <c r="E32" s="128"/>
      <c r="F32" s="128"/>
      <c r="H32" s="119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2:18">
      <c r="C33" s="131"/>
      <c r="D33" s="131"/>
      <c r="E33" s="131"/>
      <c r="F33" s="131"/>
      <c r="G33" s="193"/>
      <c r="H33" s="119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2:18">
      <c r="B34" s="97"/>
      <c r="C34" s="131"/>
      <c r="D34" s="131"/>
      <c r="E34" s="131"/>
      <c r="F34" s="146"/>
      <c r="G34" s="193"/>
      <c r="H34" s="119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2:18">
      <c r="C35" s="7"/>
      <c r="D35" s="7"/>
      <c r="E35" s="7"/>
      <c r="F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2:18">
      <c r="C36" s="7"/>
      <c r="D36" s="7"/>
      <c r="E36" s="7"/>
      <c r="F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2:18">
      <c r="C37" s="7"/>
      <c r="D37" s="7"/>
      <c r="E37" s="7"/>
      <c r="F37" s="7"/>
      <c r="G37" s="193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2:18" s="355" customFormat="1">
      <c r="C38" s="7"/>
      <c r="D38" s="7"/>
      <c r="E38" s="7"/>
      <c r="F38" s="7"/>
      <c r="G38" s="193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2:18">
      <c r="C39" s="7"/>
      <c r="D39" s="7"/>
      <c r="E39" s="7"/>
      <c r="G39" s="193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2:18">
      <c r="C40" s="7"/>
      <c r="D40" s="7"/>
      <c r="E40" s="7"/>
      <c r="F40" s="7"/>
      <c r="G40" s="193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2:18">
      <c r="C41" s="7"/>
      <c r="D41" s="7"/>
      <c r="E41" s="7"/>
      <c r="F41" s="26" t="s">
        <v>20</v>
      </c>
      <c r="G41" s="193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2:18">
      <c r="C42" s="7"/>
      <c r="D42" s="7"/>
      <c r="E42" s="7"/>
      <c r="F42" s="7"/>
      <c r="G42" s="193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2:18">
      <c r="C43" s="7"/>
      <c r="D43" s="7"/>
      <c r="E43" s="7"/>
      <c r="F43" s="7"/>
      <c r="G43" s="193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2:18">
      <c r="C44" s="7"/>
      <c r="D44" s="7"/>
      <c r="E44" s="7"/>
      <c r="G44" s="193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 spans="2:18">
      <c r="C45" s="7"/>
      <c r="D45" s="7"/>
      <c r="E45" s="7"/>
      <c r="F45" s="7"/>
      <c r="G45" s="193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 spans="2:18">
      <c r="C46" s="7"/>
      <c r="D46" s="7"/>
      <c r="E46" s="7"/>
      <c r="F46" s="7"/>
      <c r="G46" s="193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2:18">
      <c r="C47" s="7"/>
      <c r="D47" s="7"/>
      <c r="E47" s="7"/>
      <c r="F47" s="7"/>
      <c r="G47" s="193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2:18">
      <c r="C48" s="7"/>
      <c r="D48" s="7"/>
      <c r="E48" s="7"/>
      <c r="F48" s="7"/>
      <c r="G48" s="193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  <row r="49" spans="1:18">
      <c r="C49" s="7"/>
      <c r="D49" s="7"/>
      <c r="E49" s="7"/>
      <c r="F49" s="7"/>
      <c r="G49" s="193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1:18">
      <c r="C50" s="7"/>
      <c r="D50" s="7"/>
      <c r="E50" s="7"/>
      <c r="F50" s="7"/>
      <c r="G50" s="193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</row>
    <row r="51" spans="1:18">
      <c r="C51" s="7"/>
      <c r="D51" s="7"/>
      <c r="E51" s="7"/>
      <c r="F51" s="7"/>
      <c r="G51" s="193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</row>
    <row r="52" spans="1:18">
      <c r="C52" s="7"/>
      <c r="D52" s="7"/>
      <c r="E52" s="7"/>
      <c r="F52" s="7"/>
      <c r="G52" s="193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</row>
    <row r="53" spans="1:18">
      <c r="C53" s="7"/>
      <c r="D53" s="7"/>
      <c r="E53" s="7"/>
      <c r="F53" s="7"/>
      <c r="G53" s="193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</row>
    <row r="54" spans="1:18">
      <c r="C54" s="7"/>
      <c r="D54" s="7"/>
      <c r="E54" s="7"/>
      <c r="F54" s="7"/>
      <c r="G54" s="193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</row>
    <row r="55" spans="1:18">
      <c r="C55" s="7"/>
      <c r="D55" s="7"/>
      <c r="E55" s="7"/>
      <c r="F55" s="7"/>
      <c r="G55" s="193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</row>
    <row r="56" spans="1:18">
      <c r="A56" s="355"/>
      <c r="C56" s="7"/>
      <c r="D56" s="7"/>
      <c r="E56" s="7"/>
      <c r="F56" s="7"/>
      <c r="G56" s="193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1:18">
      <c r="C57" s="7"/>
      <c r="D57" s="7"/>
      <c r="E57" s="7"/>
      <c r="F57" s="7"/>
      <c r="G57" s="193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1:18">
      <c r="C58" s="7"/>
      <c r="D58" s="7"/>
      <c r="E58" s="7"/>
      <c r="F58" s="7"/>
      <c r="G58" s="193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1:18">
      <c r="C59" s="7"/>
      <c r="D59" s="7"/>
      <c r="E59" s="7"/>
      <c r="F59" s="7"/>
      <c r="G59" s="193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1:18">
      <c r="C60" s="7"/>
      <c r="D60" s="7"/>
      <c r="E60" s="7"/>
      <c r="F60" s="7"/>
      <c r="G60" s="193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>
      <c r="C61" s="7"/>
      <c r="D61" s="7"/>
      <c r="E61" s="7"/>
      <c r="F61" s="7"/>
      <c r="G61" s="193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1:18">
      <c r="C62" s="7"/>
      <c r="D62" s="7"/>
      <c r="E62" s="7"/>
      <c r="F62" s="7"/>
      <c r="G62" s="193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1:18">
      <c r="C63" s="7"/>
      <c r="D63" s="7"/>
      <c r="E63" s="7"/>
      <c r="F63" s="7"/>
      <c r="G63" s="193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1:18">
      <c r="C64" s="7"/>
      <c r="D64" s="7"/>
      <c r="E64" s="7"/>
      <c r="F64" s="7"/>
      <c r="G64" s="193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2:18">
      <c r="B65" s="207"/>
      <c r="C65" s="7"/>
      <c r="D65" s="7"/>
      <c r="E65" s="7"/>
      <c r="F65" s="7"/>
      <c r="G65" s="193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2:18">
      <c r="C66" s="7"/>
      <c r="D66" s="7"/>
      <c r="E66" s="7"/>
      <c r="F66" s="7"/>
      <c r="G66" s="193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</row>
    <row r="67" spans="2:18">
      <c r="C67" s="7"/>
      <c r="D67" s="7"/>
      <c r="E67" s="7"/>
      <c r="F67" s="7"/>
      <c r="G67" s="193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2:18">
      <c r="C68" s="7"/>
      <c r="D68" s="7"/>
      <c r="E68" s="7"/>
      <c r="F68" s="7">
        <f>3750</f>
        <v>3750</v>
      </c>
      <c r="G68" s="193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2:18">
      <c r="C69" s="7"/>
      <c r="D69" s="7"/>
      <c r="E69" s="7"/>
      <c r="F69" s="7"/>
      <c r="G69" s="193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2:18">
      <c r="C70" s="7"/>
      <c r="D70" s="7"/>
      <c r="E70" s="7"/>
      <c r="F70" s="7"/>
      <c r="G70" s="193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2:18">
      <c r="C71" s="7"/>
      <c r="D71" s="7"/>
      <c r="E71" s="7"/>
      <c r="F71" s="7"/>
      <c r="G71" s="193"/>
      <c r="H71" s="7"/>
      <c r="I71" s="7"/>
      <c r="J71" s="206"/>
      <c r="K71" s="7"/>
      <c r="L71" s="7"/>
      <c r="M71" s="7"/>
      <c r="N71" s="7"/>
      <c r="O71" s="7"/>
      <c r="P71" s="7"/>
      <c r="Q71" s="7"/>
      <c r="R71" s="7"/>
    </row>
    <row r="72" spans="2:18">
      <c r="C72" s="7"/>
      <c r="D72" s="7"/>
      <c r="E72" s="7"/>
      <c r="F72" s="7">
        <v>3500</v>
      </c>
      <c r="G72" s="193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2:18">
      <c r="C73" s="7"/>
      <c r="D73" s="7"/>
      <c r="E73" s="7"/>
      <c r="F73" s="7">
        <f>3750</f>
        <v>3750</v>
      </c>
      <c r="G73" s="193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2:18">
      <c r="C74" s="7"/>
      <c r="D74" s="7"/>
      <c r="E74" s="7"/>
      <c r="F74" s="7"/>
      <c r="G74" s="193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2:18">
      <c r="C75" s="7"/>
      <c r="D75" s="7"/>
      <c r="E75" s="7"/>
      <c r="F75" s="7">
        <f>3750+3750+3750</f>
        <v>11250</v>
      </c>
      <c r="G75" s="193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</row>
    <row r="76" spans="2:18">
      <c r="C76" s="7"/>
      <c r="D76" s="7"/>
      <c r="E76" s="7"/>
      <c r="F76" s="7"/>
      <c r="G76" s="193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 spans="2:18">
      <c r="C77" s="7"/>
      <c r="D77" s="7"/>
      <c r="E77" s="7"/>
      <c r="F77" s="7"/>
      <c r="G77" s="193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2:18">
      <c r="C78" s="7"/>
      <c r="D78" s="7"/>
      <c r="E78" s="7"/>
      <c r="F78" s="7"/>
      <c r="G78" s="193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</row>
    <row r="79" spans="2:18">
      <c r="C79" s="7"/>
      <c r="D79" s="7"/>
      <c r="E79" s="7"/>
      <c r="F79" s="7"/>
      <c r="G79" s="193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</row>
    <row r="80" spans="2:18">
      <c r="C80" s="7"/>
      <c r="D80" s="7"/>
      <c r="E80" s="7"/>
      <c r="F80" s="7"/>
      <c r="G80" s="193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</row>
    <row r="81" spans="3:18">
      <c r="C81" s="7"/>
      <c r="D81" s="7"/>
      <c r="E81" s="7"/>
      <c r="F81" s="7"/>
      <c r="G81" s="193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</row>
    <row r="82" spans="3:18">
      <c r="C82" s="7"/>
      <c r="D82" s="7"/>
      <c r="E82" s="7"/>
      <c r="F82" s="7"/>
      <c r="G82" s="193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</row>
    <row r="83" spans="3:18">
      <c r="C83" s="7"/>
      <c r="D83" s="7"/>
      <c r="E83" s="7"/>
      <c r="F83" s="7"/>
      <c r="G83" s="193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</row>
    <row r="84" spans="3:18">
      <c r="C84" s="7"/>
      <c r="D84" s="7"/>
      <c r="E84" s="7"/>
      <c r="F84" s="7"/>
      <c r="G84" s="193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</row>
    <row r="85" spans="3:18">
      <c r="C85" s="7"/>
      <c r="D85" s="7"/>
      <c r="E85" s="7"/>
      <c r="F85" s="7"/>
      <c r="G85" s="193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</row>
    <row r="86" spans="3:18">
      <c r="C86" s="7"/>
      <c r="D86" s="7"/>
      <c r="E86" s="7"/>
      <c r="F86" s="7"/>
      <c r="G86" s="193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</row>
    <row r="87" spans="3:18">
      <c r="C87" s="7"/>
      <c r="D87" s="7"/>
      <c r="E87" s="7"/>
      <c r="F87" s="7"/>
      <c r="G87" s="193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</row>
    <row r="88" spans="3:18">
      <c r="C88" s="7"/>
      <c r="D88" s="7"/>
      <c r="E88" s="7"/>
      <c r="F88" s="7"/>
      <c r="G88" s="193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</row>
    <row r="89" spans="3:18">
      <c r="C89" s="7"/>
      <c r="D89" s="7"/>
      <c r="E89" s="7"/>
      <c r="F89" s="7"/>
      <c r="G89" s="193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</row>
    <row r="90" spans="3:18">
      <c r="C90" s="7"/>
      <c r="D90" s="7"/>
      <c r="E90" s="7"/>
      <c r="F90" s="7"/>
      <c r="G90" s="193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</row>
    <row r="91" spans="3:18">
      <c r="C91" s="7"/>
      <c r="D91" s="7"/>
      <c r="E91" s="7"/>
      <c r="F91" s="7"/>
      <c r="G91" s="193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</row>
    <row r="92" spans="3:18">
      <c r="C92" s="7"/>
      <c r="D92" s="7"/>
      <c r="E92" s="7"/>
      <c r="F92" s="7"/>
      <c r="G92" s="193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</row>
    <row r="93" spans="3:18">
      <c r="C93" s="7"/>
      <c r="D93" s="7"/>
      <c r="E93" s="7"/>
      <c r="F93" s="7"/>
      <c r="G93" s="193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</row>
    <row r="94" spans="3:18">
      <c r="C94" s="7"/>
      <c r="D94" s="7"/>
      <c r="E94" s="7"/>
      <c r="F94" s="7"/>
      <c r="G94" s="193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</row>
    <row r="95" spans="3:18">
      <c r="C95" s="7"/>
      <c r="D95" s="7"/>
      <c r="E95" s="7"/>
      <c r="F95" s="7"/>
      <c r="G95" s="193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</row>
    <row r="96" spans="3:18">
      <c r="C96" s="7"/>
      <c r="D96" s="7"/>
      <c r="E96" s="7"/>
      <c r="F96" s="7"/>
      <c r="G96" s="193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</row>
    <row r="97" spans="3:18">
      <c r="C97" s="7"/>
      <c r="D97" s="7"/>
      <c r="E97" s="7"/>
      <c r="F97" s="7"/>
      <c r="G97" s="193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</row>
    <row r="98" spans="3:18">
      <c r="C98" s="7"/>
      <c r="D98" s="7"/>
      <c r="E98" s="7"/>
      <c r="F98" s="7"/>
      <c r="G98" s="193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</row>
    <row r="99" spans="3:18">
      <c r="C99" s="7"/>
      <c r="D99" s="7"/>
      <c r="E99" s="7"/>
      <c r="F99" s="7"/>
      <c r="G99" s="193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</row>
    <row r="100" spans="3:18">
      <c r="C100" s="7"/>
      <c r="D100" s="7"/>
      <c r="E100" s="7"/>
      <c r="F100" s="7"/>
      <c r="G100" s="193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</row>
    <row r="101" spans="3:18">
      <c r="C101" s="7"/>
      <c r="D101" s="7"/>
      <c r="E101" s="7"/>
      <c r="F101" s="7"/>
      <c r="G101" s="193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</row>
    <row r="102" spans="3:18">
      <c r="C102" s="7"/>
      <c r="D102" s="7"/>
      <c r="E102" s="7"/>
      <c r="F102" s="7"/>
      <c r="G102" s="193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</row>
    <row r="103" spans="3:18">
      <c r="C103" s="7"/>
      <c r="D103" s="7"/>
      <c r="E103" s="7"/>
      <c r="F103" s="7"/>
      <c r="G103" s="193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</row>
    <row r="104" spans="3:18">
      <c r="C104" s="7"/>
      <c r="D104" s="7"/>
      <c r="E104" s="7"/>
      <c r="F104" s="7"/>
      <c r="G104" s="193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</row>
    <row r="105" spans="3:18">
      <c r="C105" s="7"/>
      <c r="D105" s="7"/>
      <c r="E105" s="7"/>
      <c r="F105" s="7"/>
      <c r="G105" s="193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</row>
    <row r="106" spans="3:18">
      <c r="C106" s="7"/>
      <c r="D106" s="7"/>
      <c r="E106" s="7"/>
      <c r="F106" s="7"/>
      <c r="G106" s="193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</row>
    <row r="107" spans="3:18">
      <c r="C107" s="7"/>
      <c r="D107" s="7"/>
      <c r="E107" s="7"/>
      <c r="F107" s="7"/>
      <c r="G107" s="193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</row>
    <row r="108" spans="3:18">
      <c r="C108" s="7"/>
      <c r="D108" s="7"/>
      <c r="E108" s="7"/>
      <c r="F108" s="7"/>
      <c r="G108" s="193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</row>
    <row r="109" spans="3:18">
      <c r="C109" s="7"/>
      <c r="D109" s="7"/>
      <c r="E109" s="7"/>
      <c r="F109" s="7"/>
      <c r="G109" s="193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</row>
    <row r="110" spans="3:18">
      <c r="C110" s="7"/>
      <c r="D110" s="7"/>
      <c r="E110" s="7"/>
      <c r="F110" s="7"/>
      <c r="G110" s="193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</row>
    <row r="111" spans="3:18">
      <c r="C111" s="7"/>
      <c r="D111" s="7"/>
      <c r="E111" s="7"/>
      <c r="F111" s="7"/>
      <c r="G111" s="193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</row>
    <row r="112" spans="3:18">
      <c r="C112" s="7"/>
      <c r="D112" s="7"/>
      <c r="E112" s="7"/>
      <c r="F112" s="7"/>
      <c r="G112" s="193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</row>
    <row r="113" spans="3:18">
      <c r="C113" s="7"/>
      <c r="D113" s="7"/>
      <c r="E113" s="7"/>
      <c r="F113" s="7"/>
      <c r="G113" s="193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</row>
    <row r="114" spans="3:18">
      <c r="C114" s="7"/>
      <c r="D114" s="7"/>
      <c r="E114" s="7"/>
      <c r="F114" s="7"/>
      <c r="G114" s="193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</row>
    <row r="115" spans="3:18">
      <c r="C115" s="7"/>
      <c r="D115" s="7"/>
      <c r="E115" s="7"/>
      <c r="F115" s="7"/>
      <c r="G115" s="193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</row>
    <row r="116" spans="3:18">
      <c r="C116" s="7"/>
      <c r="D116" s="7"/>
      <c r="E116" s="7"/>
      <c r="F116" s="7"/>
      <c r="G116" s="193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</row>
    <row r="117" spans="3:18">
      <c r="C117" s="7"/>
      <c r="D117" s="7"/>
      <c r="E117" s="7"/>
      <c r="F117" s="7"/>
      <c r="G117" s="193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</row>
    <row r="118" spans="3:18">
      <c r="C118" s="7"/>
      <c r="D118" s="7"/>
      <c r="E118" s="7"/>
      <c r="F118" s="7"/>
      <c r="G118" s="193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</row>
    <row r="119" spans="3:18">
      <c r="C119" s="7"/>
      <c r="D119" s="7"/>
      <c r="E119" s="7"/>
      <c r="F119" s="7"/>
      <c r="G119" s="193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</row>
    <row r="120" spans="3:18">
      <c r="C120" s="7"/>
      <c r="D120" s="7"/>
      <c r="E120" s="7"/>
      <c r="F120" s="7"/>
      <c r="G120" s="193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</row>
    <row r="121" spans="3:18">
      <c r="C121" s="7"/>
      <c r="D121" s="7"/>
      <c r="E121" s="7"/>
      <c r="F121" s="7"/>
      <c r="G121" s="193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</row>
    <row r="122" spans="3:18">
      <c r="C122" s="7"/>
      <c r="D122" s="7"/>
      <c r="E122" s="7"/>
      <c r="F122" s="7"/>
      <c r="G122" s="193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</row>
    <row r="123" spans="3:18">
      <c r="C123" s="7"/>
      <c r="D123" s="7"/>
      <c r="E123" s="7"/>
      <c r="F123" s="7"/>
      <c r="G123" s="193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</row>
    <row r="124" spans="3:18">
      <c r="C124" s="7"/>
      <c r="D124" s="7"/>
      <c r="E124" s="7"/>
      <c r="F124" s="7"/>
      <c r="G124" s="193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</row>
    <row r="125" spans="3:18">
      <c r="C125" s="7"/>
      <c r="D125" s="7"/>
      <c r="E125" s="7"/>
      <c r="F125" s="7"/>
      <c r="G125" s="193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</row>
    <row r="126" spans="3:18">
      <c r="C126" s="7"/>
      <c r="D126" s="7"/>
      <c r="E126" s="7"/>
      <c r="F126" s="7"/>
      <c r="G126" s="193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</row>
    <row r="127" spans="3:18">
      <c r="C127" s="7"/>
      <c r="D127" s="7"/>
      <c r="E127" s="7"/>
      <c r="F127" s="7"/>
      <c r="G127" s="193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</row>
    <row r="128" spans="3:18">
      <c r="C128" s="7"/>
      <c r="D128" s="7"/>
      <c r="E128" s="7"/>
      <c r="F128" s="7"/>
      <c r="G128" s="193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</row>
    <row r="129" spans="3:18">
      <c r="C129" s="7"/>
      <c r="D129" s="7"/>
      <c r="E129" s="7"/>
      <c r="F129" s="7"/>
      <c r="G129" s="193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</row>
    <row r="130" spans="3:18">
      <c r="C130" s="7"/>
      <c r="D130" s="7"/>
      <c r="E130" s="7"/>
      <c r="F130" s="7"/>
      <c r="G130" s="193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</row>
    <row r="131" spans="3:18">
      <c r="C131" s="7"/>
      <c r="D131" s="7"/>
      <c r="E131" s="7"/>
      <c r="F131" s="7"/>
      <c r="G131" s="193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</row>
    <row r="132" spans="3:18">
      <c r="C132" s="7"/>
      <c r="D132" s="7"/>
      <c r="E132" s="7"/>
      <c r="F132" s="7"/>
      <c r="G132" s="193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</row>
    <row r="133" spans="3:18">
      <c r="C133" s="7"/>
      <c r="D133" s="7"/>
      <c r="E133" s="7"/>
      <c r="F133" s="7"/>
      <c r="G133" s="193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</row>
    <row r="134" spans="3:18">
      <c r="C134" s="7"/>
      <c r="D134" s="7"/>
      <c r="E134" s="7"/>
      <c r="F134" s="7"/>
      <c r="G134" s="193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</row>
    <row r="135" spans="3:18">
      <c r="C135" s="7"/>
      <c r="D135" s="7"/>
      <c r="E135" s="7"/>
      <c r="F135" s="7"/>
      <c r="G135" s="193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</row>
    <row r="136" spans="3:18">
      <c r="C136" s="7"/>
      <c r="D136" s="7"/>
      <c r="E136" s="7"/>
      <c r="F136" s="7"/>
      <c r="G136" s="193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</row>
    <row r="137" spans="3:18">
      <c r="C137" s="7"/>
      <c r="D137" s="7"/>
      <c r="E137" s="7"/>
      <c r="F137" s="7"/>
      <c r="G137" s="193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</row>
    <row r="138" spans="3:18">
      <c r="C138" s="7"/>
      <c r="D138" s="7"/>
      <c r="E138" s="7"/>
      <c r="F138" s="7"/>
      <c r="G138" s="193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</row>
    <row r="139" spans="3:18">
      <c r="C139" s="7"/>
      <c r="D139" s="7"/>
      <c r="E139" s="7"/>
      <c r="F139" s="7"/>
      <c r="G139" s="193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</row>
    <row r="140" spans="3:18">
      <c r="C140" s="7"/>
      <c r="D140" s="7"/>
      <c r="E140" s="7"/>
      <c r="F140" s="7"/>
      <c r="G140" s="193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</row>
    <row r="141" spans="3:18">
      <c r="C141" s="7"/>
      <c r="D141" s="7"/>
      <c r="E141" s="7"/>
      <c r="F141" s="7"/>
      <c r="G141" s="193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</row>
    <row r="142" spans="3:18">
      <c r="C142" s="7"/>
      <c r="D142" s="7"/>
      <c r="E142" s="7"/>
      <c r="F142" s="7"/>
      <c r="G142" s="193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</row>
    <row r="143" spans="3:18">
      <c r="C143" s="7"/>
      <c r="D143" s="7"/>
      <c r="E143" s="7"/>
      <c r="F143" s="7"/>
      <c r="G143" s="193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</row>
    <row r="144" spans="3:18">
      <c r="C144" s="7"/>
      <c r="D144" s="7"/>
      <c r="E144" s="7"/>
      <c r="F144" s="7"/>
      <c r="G144" s="193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</row>
    <row r="145" spans="3:18">
      <c r="C145" s="7"/>
      <c r="D145" s="7"/>
      <c r="E145" s="7"/>
      <c r="F145" s="7"/>
      <c r="G145" s="193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</row>
    <row r="146" spans="3:18">
      <c r="C146" s="7"/>
      <c r="D146" s="7"/>
      <c r="E146" s="7"/>
      <c r="F146" s="7"/>
      <c r="G146" s="193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</row>
    <row r="147" spans="3:18">
      <c r="C147" s="7"/>
      <c r="D147" s="7"/>
      <c r="E147" s="7"/>
      <c r="F147" s="7"/>
      <c r="G147" s="193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</row>
    <row r="148" spans="3:18">
      <c r="C148" s="7"/>
      <c r="D148" s="7"/>
      <c r="E148" s="7"/>
      <c r="F148" s="7"/>
      <c r="G148" s="193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</row>
    <row r="149" spans="3:18">
      <c r="C149" s="7"/>
      <c r="D149" s="7"/>
      <c r="E149" s="7"/>
      <c r="F149" s="7"/>
      <c r="G149" s="193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</row>
    <row r="150" spans="3:18">
      <c r="C150" s="7"/>
      <c r="D150" s="7"/>
      <c r="E150" s="7"/>
      <c r="F150" s="7"/>
      <c r="G150" s="193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</row>
    <row r="151" spans="3:18">
      <c r="C151" s="7"/>
      <c r="D151" s="7"/>
      <c r="E151" s="7"/>
      <c r="F151" s="7"/>
      <c r="G151" s="193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</row>
    <row r="152" spans="3:18">
      <c r="C152" s="7"/>
      <c r="D152" s="7"/>
      <c r="E152" s="7"/>
      <c r="F152" s="7"/>
      <c r="G152" s="193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</row>
    <row r="153" spans="3:18">
      <c r="C153" s="7"/>
      <c r="D153" s="7"/>
      <c r="E153" s="7"/>
      <c r="F153" s="7"/>
      <c r="G153" s="193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</row>
    <row r="154" spans="3:18">
      <c r="C154" s="7"/>
      <c r="D154" s="7"/>
      <c r="E154" s="7"/>
      <c r="F154" s="7"/>
      <c r="G154" s="193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</row>
    <row r="155" spans="3:18">
      <c r="C155" s="7"/>
      <c r="D155" s="7"/>
      <c r="E155" s="7"/>
      <c r="F155" s="7"/>
      <c r="G155" s="193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</row>
    <row r="156" spans="3:18">
      <c r="C156" s="7"/>
      <c r="D156" s="7"/>
      <c r="E156" s="7"/>
      <c r="F156" s="7"/>
      <c r="G156" s="193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</row>
    <row r="157" spans="3:18">
      <c r="C157" s="7"/>
      <c r="D157" s="7"/>
      <c r="E157" s="7"/>
      <c r="F157" s="7"/>
      <c r="G157" s="193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</row>
    <row r="158" spans="3:18">
      <c r="C158" s="7"/>
      <c r="D158" s="7"/>
      <c r="E158" s="7"/>
      <c r="F158" s="7"/>
      <c r="G158" s="193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</row>
    <row r="159" spans="3:18">
      <c r="C159" s="7"/>
      <c r="D159" s="7"/>
      <c r="E159" s="7"/>
      <c r="F159" s="7"/>
      <c r="G159" s="193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</row>
    <row r="160" spans="3:18">
      <c r="C160" s="7"/>
      <c r="D160" s="7"/>
      <c r="E160" s="7"/>
      <c r="F160" s="7"/>
      <c r="G160" s="193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</row>
  </sheetData>
  <mergeCells count="7">
    <mergeCell ref="A7:G7"/>
    <mergeCell ref="B6:E6"/>
    <mergeCell ref="C1:G1"/>
    <mergeCell ref="A2:G2"/>
    <mergeCell ref="A3:G3"/>
    <mergeCell ref="A4:G4"/>
    <mergeCell ref="A5:G5"/>
  </mergeCells>
  <phoneticPr fontId="11" type="noConversion"/>
  <pageMargins left="0.75" right="0.75" top="1" bottom="1" header="0.5" footer="0.5"/>
  <pageSetup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/>
  <dimension ref="A1:Z133"/>
  <sheetViews>
    <sheetView view="pageBreakPreview" zoomScale="130" zoomScaleNormal="130" zoomScaleSheetLayoutView="130" workbookViewId="0">
      <selection activeCell="F50" sqref="F50"/>
    </sheetView>
  </sheetViews>
  <sheetFormatPr defaultColWidth="9.140625" defaultRowHeight="12.75"/>
  <cols>
    <col min="1" max="1" width="3.7109375" style="193" customWidth="1"/>
    <col min="2" max="2" width="25.7109375" style="193" customWidth="1"/>
    <col min="3" max="3" width="13.28515625" style="193" customWidth="1"/>
    <col min="4" max="4" width="15.85546875" style="337" customWidth="1"/>
    <col min="5" max="5" width="2.140625" style="193" customWidth="1"/>
    <col min="6" max="6" width="15.5703125" style="193" customWidth="1"/>
    <col min="7" max="7" width="3.42578125" style="193" customWidth="1"/>
    <col min="8" max="9" width="15.5703125" style="193" customWidth="1"/>
    <col min="10" max="10" width="10.42578125" style="249" customWidth="1"/>
    <col min="11" max="11" width="8.7109375" style="249" customWidth="1"/>
    <col min="12" max="12" width="24.5703125" style="193" bestFit="1" customWidth="1"/>
    <col min="13" max="13" width="9.7109375" style="193" bestFit="1" customWidth="1"/>
    <col min="14" max="16384" width="9.140625" style="193"/>
  </cols>
  <sheetData>
    <row r="1" spans="1:26">
      <c r="D1" s="193"/>
    </row>
    <row r="2" spans="1:26">
      <c r="B2" s="393" t="s">
        <v>1</v>
      </c>
      <c r="C2" s="394"/>
      <c r="D2" s="394"/>
      <c r="E2" s="394"/>
      <c r="F2" s="394"/>
      <c r="G2" s="394"/>
      <c r="H2" s="394"/>
      <c r="I2" s="394"/>
    </row>
    <row r="3" spans="1:26">
      <c r="B3" s="395" t="s">
        <v>198</v>
      </c>
      <c r="C3" s="394"/>
      <c r="D3" s="394"/>
      <c r="E3" s="394"/>
      <c r="F3" s="394"/>
      <c r="G3" s="394"/>
      <c r="H3" s="394"/>
      <c r="I3" s="394"/>
    </row>
    <row r="4" spans="1:26">
      <c r="B4" s="393" t="s">
        <v>134</v>
      </c>
      <c r="C4" s="394"/>
      <c r="D4" s="394"/>
      <c r="E4" s="394"/>
      <c r="F4" s="394"/>
      <c r="G4" s="394"/>
      <c r="H4" s="394"/>
      <c r="I4" s="394"/>
      <c r="J4" s="276"/>
      <c r="K4" s="276"/>
      <c r="L4" s="277"/>
      <c r="M4" s="277"/>
      <c r="N4" s="277"/>
      <c r="O4" s="277"/>
      <c r="P4" s="277"/>
      <c r="Q4" s="277"/>
    </row>
    <row r="5" spans="1:26">
      <c r="B5" s="397" t="s">
        <v>298</v>
      </c>
      <c r="C5" s="394"/>
      <c r="D5" s="394"/>
      <c r="E5" s="394"/>
      <c r="F5" s="394"/>
      <c r="G5" s="394"/>
      <c r="H5" s="394"/>
      <c r="I5" s="394"/>
      <c r="J5" s="276"/>
      <c r="K5" s="276"/>
      <c r="L5" s="277"/>
      <c r="M5" s="277"/>
      <c r="N5" s="277"/>
      <c r="O5" s="277"/>
      <c r="P5" s="277"/>
      <c r="Q5" s="277"/>
    </row>
    <row r="6" spans="1:26" ht="6" customHeight="1">
      <c r="C6" s="278"/>
      <c r="D6" s="193"/>
      <c r="E6" s="279"/>
      <c r="H6" s="278"/>
      <c r="I6" s="278"/>
      <c r="J6" s="276"/>
      <c r="K6" s="276"/>
      <c r="L6" s="277"/>
      <c r="M6" s="277"/>
      <c r="N6" s="277"/>
      <c r="O6" s="277"/>
      <c r="P6" s="277"/>
      <c r="Q6" s="277"/>
    </row>
    <row r="7" spans="1:26">
      <c r="B7" s="401" t="s">
        <v>221</v>
      </c>
      <c r="C7" s="399"/>
      <c r="D7" s="399"/>
      <c r="E7" s="399"/>
      <c r="F7" s="399"/>
      <c r="G7" s="399"/>
      <c r="H7" s="399"/>
      <c r="I7" s="399"/>
      <c r="J7" s="276"/>
      <c r="K7" s="276"/>
      <c r="L7" s="277"/>
      <c r="M7" s="277"/>
      <c r="N7" s="277"/>
      <c r="O7" s="277"/>
      <c r="P7" s="277"/>
      <c r="Q7" s="277"/>
    </row>
    <row r="8" spans="1:26">
      <c r="B8" s="280"/>
      <c r="C8" s="281"/>
      <c r="D8" s="343"/>
      <c r="E8" s="282"/>
      <c r="F8" s="281"/>
      <c r="G8" s="280"/>
      <c r="H8" s="282"/>
      <c r="I8" s="282"/>
      <c r="J8" s="276"/>
      <c r="K8" s="276"/>
      <c r="L8" s="277"/>
      <c r="M8" s="277"/>
      <c r="N8" s="277"/>
      <c r="O8" s="277"/>
      <c r="P8" s="277"/>
      <c r="Q8" s="277"/>
    </row>
    <row r="9" spans="1:26">
      <c r="B9" s="194"/>
      <c r="C9" s="283"/>
      <c r="D9" s="340">
        <v>2018</v>
      </c>
      <c r="E9" s="195"/>
      <c r="F9" s="31" t="s">
        <v>145</v>
      </c>
      <c r="G9" s="274"/>
      <c r="H9" s="195"/>
      <c r="I9" s="195" t="s">
        <v>165</v>
      </c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</row>
    <row r="10" spans="1:26">
      <c r="B10" s="194"/>
      <c r="C10" s="283"/>
      <c r="D10" s="340" t="s">
        <v>36</v>
      </c>
      <c r="E10" s="195"/>
      <c r="F10" s="324" t="s">
        <v>177</v>
      </c>
      <c r="G10" s="274"/>
      <c r="H10" s="195" t="s">
        <v>37</v>
      </c>
      <c r="I10" s="195" t="s">
        <v>145</v>
      </c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</row>
    <row r="11" spans="1:26">
      <c r="B11" s="194" t="s">
        <v>149</v>
      </c>
      <c r="C11" s="284"/>
      <c r="D11" s="196" t="s">
        <v>38</v>
      </c>
      <c r="E11" s="196"/>
      <c r="F11" s="98">
        <f>'change in net assets'!F11</f>
        <v>43373</v>
      </c>
      <c r="G11" s="285"/>
      <c r="H11" s="196" t="s">
        <v>38</v>
      </c>
      <c r="I11" s="325">
        <f>'change in net assets'!G11</f>
        <v>43008</v>
      </c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</row>
    <row r="12" spans="1:26">
      <c r="A12" s="193">
        <v>1</v>
      </c>
      <c r="B12" s="286" t="s">
        <v>22</v>
      </c>
      <c r="C12" s="287"/>
      <c r="D12" s="197">
        <v>1039264</v>
      </c>
      <c r="E12" s="197"/>
      <c r="F12" s="201">
        <v>1197185.8899999999</v>
      </c>
      <c r="G12" s="197"/>
      <c r="H12" s="197">
        <f>+D12-F12</f>
        <v>-157921.8899999999</v>
      </c>
      <c r="I12" s="197">
        <v>1162765</v>
      </c>
      <c r="J12" s="228"/>
      <c r="K12" s="228"/>
      <c r="L12" s="289"/>
      <c r="M12" s="268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</row>
    <row r="13" spans="1:26">
      <c r="A13" s="193">
        <v>2</v>
      </c>
      <c r="B13" s="286" t="s">
        <v>29</v>
      </c>
      <c r="C13" s="284"/>
      <c r="D13" s="198">
        <v>0</v>
      </c>
      <c r="E13" s="198"/>
      <c r="F13" s="132">
        <v>8318.8700000000008</v>
      </c>
      <c r="G13" s="198"/>
      <c r="H13" s="198">
        <f>+D13-F13</f>
        <v>-8318.8700000000008</v>
      </c>
      <c r="I13" s="198">
        <v>5361</v>
      </c>
      <c r="J13" s="204"/>
      <c r="K13" s="204"/>
      <c r="L13" s="290"/>
      <c r="M13" s="268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</row>
    <row r="14" spans="1:26">
      <c r="A14" s="193">
        <v>3</v>
      </c>
      <c r="B14" s="245" t="s">
        <v>156</v>
      </c>
      <c r="C14" s="284"/>
      <c r="D14" s="198">
        <v>0</v>
      </c>
      <c r="E14" s="198"/>
      <c r="F14" s="132">
        <f>16492.1-1406.99-1979.05</f>
        <v>13106.06</v>
      </c>
      <c r="G14" s="198"/>
      <c r="H14" s="198">
        <f t="shared" ref="H14:H21" si="0">+D14-F14</f>
        <v>-13106.06</v>
      </c>
      <c r="I14" s="198">
        <v>5007</v>
      </c>
      <c r="J14" s="204"/>
      <c r="K14" s="204"/>
      <c r="L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</row>
    <row r="15" spans="1:26">
      <c r="A15" s="193">
        <v>4</v>
      </c>
      <c r="B15" s="245" t="s">
        <v>142</v>
      </c>
      <c r="C15" s="284"/>
      <c r="D15" s="198">
        <v>0</v>
      </c>
      <c r="E15" s="198"/>
      <c r="F15" s="132">
        <f>-2469.48-11187.69</f>
        <v>-13657.17</v>
      </c>
      <c r="G15" s="198"/>
      <c r="H15" s="198">
        <f t="shared" si="0"/>
        <v>13657.17</v>
      </c>
      <c r="I15" s="198">
        <v>1200</v>
      </c>
      <c r="J15" s="204"/>
      <c r="K15" s="204"/>
      <c r="L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</row>
    <row r="16" spans="1:26">
      <c r="B16" s="245" t="s">
        <v>157</v>
      </c>
      <c r="C16" s="284"/>
      <c r="D16" s="198">
        <v>0</v>
      </c>
      <c r="E16" s="198"/>
      <c r="F16" s="132">
        <f>2192.06-263.05</f>
        <v>1929.01</v>
      </c>
      <c r="G16" s="198"/>
      <c r="H16" s="198">
        <f t="shared" si="0"/>
        <v>-1929.01</v>
      </c>
      <c r="I16" s="198">
        <v>462</v>
      </c>
      <c r="J16" s="204"/>
      <c r="K16" s="204"/>
      <c r="L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</row>
    <row r="17" spans="1:26">
      <c r="A17" s="193">
        <v>5</v>
      </c>
      <c r="B17" s="228" t="s">
        <v>161</v>
      </c>
      <c r="C17" s="284"/>
      <c r="D17" s="198">
        <v>32800</v>
      </c>
      <c r="E17" s="198"/>
      <c r="F17" s="132">
        <v>0</v>
      </c>
      <c r="G17" s="198"/>
      <c r="H17" s="198">
        <f t="shared" si="0"/>
        <v>32800</v>
      </c>
      <c r="I17" s="198">
        <v>0</v>
      </c>
      <c r="J17" s="204"/>
      <c r="K17" s="204"/>
      <c r="L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</row>
    <row r="18" spans="1:26" ht="12.95" customHeight="1">
      <c r="A18" s="193">
        <v>6</v>
      </c>
      <c r="B18" s="291" t="s">
        <v>171</v>
      </c>
      <c r="C18" s="284"/>
      <c r="D18" s="198">
        <v>71107</v>
      </c>
      <c r="E18" s="198"/>
      <c r="F18" s="132">
        <v>0</v>
      </c>
      <c r="G18" s="198"/>
      <c r="H18" s="198">
        <f t="shared" si="0"/>
        <v>71107</v>
      </c>
      <c r="I18" s="198">
        <v>0</v>
      </c>
      <c r="J18" s="123"/>
      <c r="K18" s="204"/>
      <c r="L18" s="290"/>
      <c r="M18" s="268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</row>
    <row r="19" spans="1:26" ht="12.6" customHeight="1">
      <c r="A19" s="193">
        <v>7</v>
      </c>
      <c r="B19" s="291" t="s">
        <v>316</v>
      </c>
      <c r="C19" s="284"/>
      <c r="D19" s="198">
        <v>0</v>
      </c>
      <c r="E19" s="198"/>
      <c r="F19" s="132">
        <f>4104.72-492.57</f>
        <v>3612.15</v>
      </c>
      <c r="G19" s="198"/>
      <c r="H19" s="198">
        <f t="shared" si="0"/>
        <v>-3612.15</v>
      </c>
      <c r="I19" s="198">
        <v>0</v>
      </c>
      <c r="L19" s="123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</row>
    <row r="20" spans="1:26">
      <c r="A20" s="193">
        <v>8</v>
      </c>
      <c r="B20" s="291" t="s">
        <v>176</v>
      </c>
      <c r="C20" s="179"/>
      <c r="D20" s="132">
        <v>0</v>
      </c>
      <c r="E20" s="132"/>
      <c r="F20" s="132">
        <v>0</v>
      </c>
      <c r="G20" s="292"/>
      <c r="H20" s="132">
        <f t="shared" si="0"/>
        <v>0</v>
      </c>
      <c r="I20" s="132">
        <v>0</v>
      </c>
      <c r="J20" s="293"/>
      <c r="K20" s="293"/>
      <c r="L20" s="187"/>
      <c r="M20" s="187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204"/>
      <c r="Z20" s="204"/>
    </row>
    <row r="21" spans="1:26">
      <c r="B21" s="291" t="s">
        <v>185</v>
      </c>
      <c r="C21" s="179"/>
      <c r="D21" s="199">
        <v>0</v>
      </c>
      <c r="E21" s="132"/>
      <c r="F21" s="199">
        <f>5000+5000</f>
        <v>10000</v>
      </c>
      <c r="G21" s="292"/>
      <c r="H21" s="199">
        <f t="shared" si="0"/>
        <v>-10000</v>
      </c>
      <c r="I21" s="199">
        <v>0</v>
      </c>
      <c r="J21" s="293"/>
      <c r="K21" s="293"/>
      <c r="L21" s="187"/>
      <c r="M21" s="187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204"/>
      <c r="Z21" s="204"/>
    </row>
    <row r="22" spans="1:26">
      <c r="B22" s="377" t="s">
        <v>260</v>
      </c>
      <c r="C22" s="378"/>
      <c r="D22" s="379">
        <f>SUM(D12:D21)</f>
        <v>1143171</v>
      </c>
      <c r="E22" s="379"/>
      <c r="F22" s="379">
        <f>SUM(F12:F21)</f>
        <v>1220494.81</v>
      </c>
      <c r="G22" s="380"/>
      <c r="H22" s="379">
        <f>SUM(H12:H21)</f>
        <v>-77323.809999999881</v>
      </c>
      <c r="I22" s="379">
        <f>SUM(I12:I21)</f>
        <v>1174795</v>
      </c>
      <c r="J22" s="293"/>
      <c r="K22" s="293"/>
      <c r="L22" s="295"/>
      <c r="M22" s="187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204"/>
      <c r="Z22" s="204"/>
    </row>
    <row r="23" spans="1:26">
      <c r="B23" s="291" t="s">
        <v>261</v>
      </c>
      <c r="C23" s="378"/>
      <c r="D23" s="379"/>
      <c r="E23" s="379"/>
      <c r="F23" s="379"/>
      <c r="G23" s="380"/>
      <c r="H23" s="379"/>
      <c r="I23" s="379"/>
      <c r="J23" s="293"/>
      <c r="K23" s="293"/>
      <c r="L23" s="295"/>
      <c r="M23" s="187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204"/>
      <c r="Z23" s="204"/>
    </row>
    <row r="24" spans="1:26">
      <c r="B24" s="381" t="s">
        <v>262</v>
      </c>
      <c r="C24" s="378"/>
      <c r="D24" s="317">
        <v>0</v>
      </c>
      <c r="E24" s="379"/>
      <c r="F24" s="317">
        <f>-118628.15+35678.97</f>
        <v>-82949.179999999993</v>
      </c>
      <c r="G24" s="380"/>
      <c r="H24" s="379"/>
      <c r="I24" s="379">
        <v>-75136</v>
      </c>
      <c r="J24" s="293"/>
      <c r="K24" s="293"/>
      <c r="L24" s="295"/>
      <c r="M24" s="187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204"/>
      <c r="Z24" s="204"/>
    </row>
    <row r="25" spans="1:26">
      <c r="B25" s="377" t="s">
        <v>263</v>
      </c>
      <c r="C25" s="378"/>
      <c r="D25" s="382">
        <f>D22+D24</f>
        <v>1143171</v>
      </c>
      <c r="E25" s="379"/>
      <c r="F25" s="382">
        <f>F22+F24</f>
        <v>1137545.6300000001</v>
      </c>
      <c r="G25" s="379"/>
      <c r="H25" s="382">
        <f>H22+H24</f>
        <v>-77323.809999999881</v>
      </c>
      <c r="I25" s="382">
        <f>I22+I24</f>
        <v>1099659</v>
      </c>
      <c r="J25" s="293"/>
      <c r="K25" s="293"/>
      <c r="L25" s="295"/>
      <c r="M25" s="187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204"/>
      <c r="Z25" s="204"/>
    </row>
    <row r="26" spans="1:26">
      <c r="B26" s="194"/>
      <c r="C26" s="283"/>
      <c r="D26" s="200"/>
      <c r="E26" s="200"/>
      <c r="F26" s="200"/>
      <c r="G26" s="294"/>
      <c r="H26" s="200"/>
      <c r="I26" s="200"/>
      <c r="J26" s="293"/>
      <c r="K26" s="293"/>
      <c r="L26" s="295"/>
      <c r="M26" s="187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204"/>
      <c r="Z26" s="204"/>
    </row>
    <row r="27" spans="1:26">
      <c r="B27" s="194"/>
      <c r="C27" s="283"/>
      <c r="D27" s="200"/>
      <c r="E27" s="200"/>
      <c r="F27" s="200"/>
      <c r="G27" s="294"/>
      <c r="H27" s="200"/>
      <c r="I27" s="200"/>
      <c r="J27" s="293"/>
      <c r="K27" s="293"/>
      <c r="L27" s="295"/>
      <c r="M27" s="187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204"/>
      <c r="Z27" s="204"/>
    </row>
    <row r="28" spans="1:26">
      <c r="B28" s="194"/>
      <c r="C28" s="191"/>
      <c r="D28" s="132"/>
      <c r="E28" s="132"/>
      <c r="F28" s="132"/>
      <c r="G28" s="132"/>
      <c r="H28" s="132"/>
      <c r="I28" s="132"/>
      <c r="J28" s="293"/>
      <c r="K28" s="293"/>
      <c r="L28" s="187"/>
      <c r="M28" s="187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204"/>
      <c r="Z28" s="204"/>
    </row>
    <row r="29" spans="1:26">
      <c r="B29" s="194" t="s">
        <v>23</v>
      </c>
      <c r="C29" s="296"/>
      <c r="D29" s="132"/>
      <c r="E29" s="132"/>
      <c r="F29" s="132"/>
      <c r="G29" s="132"/>
      <c r="H29" s="132"/>
      <c r="I29" s="132"/>
      <c r="J29" s="293"/>
      <c r="K29" s="293"/>
      <c r="L29" s="187"/>
      <c r="M29" s="187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204"/>
      <c r="Z29" s="204"/>
    </row>
    <row r="30" spans="1:26">
      <c r="A30" s="193">
        <v>1</v>
      </c>
      <c r="B30" s="286" t="s">
        <v>24</v>
      </c>
      <c r="C30" s="296"/>
      <c r="D30" s="201">
        <f>+'Admin vs Prog'!C23</f>
        <v>358654</v>
      </c>
      <c r="E30" s="201"/>
      <c r="F30" s="201">
        <f>+'Admin vs Prog'!D23</f>
        <v>261355.16</v>
      </c>
      <c r="G30" s="201"/>
      <c r="H30" s="197">
        <f t="shared" ref="H30:H40" si="1">+D30-F30</f>
        <v>97298.84</v>
      </c>
      <c r="I30" s="197">
        <v>245926</v>
      </c>
      <c r="J30" s="297"/>
      <c r="K30" s="298"/>
      <c r="L30" s="187"/>
      <c r="M30" s="187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204"/>
      <c r="Z30" s="204"/>
    </row>
    <row r="31" spans="1:26">
      <c r="A31" s="193">
        <v>2</v>
      </c>
      <c r="B31" s="286" t="s">
        <v>25</v>
      </c>
      <c r="C31" s="296"/>
      <c r="D31" s="132">
        <f>'Admin vs Prog'!C20</f>
        <v>8950</v>
      </c>
      <c r="E31" s="132"/>
      <c r="F31" s="132">
        <f>'Admin vs Prog'!D20</f>
        <v>4721.4799999999996</v>
      </c>
      <c r="G31" s="132"/>
      <c r="H31" s="198">
        <f t="shared" si="1"/>
        <v>4228.5200000000004</v>
      </c>
      <c r="I31" s="198">
        <v>3679</v>
      </c>
      <c r="J31" s="297"/>
      <c r="K31" s="298"/>
      <c r="L31" s="187"/>
      <c r="M31" s="187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204"/>
      <c r="Z31" s="204"/>
    </row>
    <row r="32" spans="1:26">
      <c r="A32" s="193">
        <v>3</v>
      </c>
      <c r="B32" s="286" t="s">
        <v>26</v>
      </c>
      <c r="C32" s="296"/>
      <c r="D32" s="132">
        <f>'Admin vs Prog'!C31</f>
        <v>38000</v>
      </c>
      <c r="E32" s="132"/>
      <c r="F32" s="132">
        <f>'Admin vs Prog'!D31</f>
        <v>30779.17</v>
      </c>
      <c r="G32" s="132"/>
      <c r="H32" s="198">
        <f t="shared" si="1"/>
        <v>7220.8300000000017</v>
      </c>
      <c r="I32" s="299">
        <v>28718</v>
      </c>
      <c r="J32" s="297"/>
      <c r="K32" s="298"/>
      <c r="L32" s="187"/>
      <c r="M32" s="187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204"/>
      <c r="Z32" s="204"/>
    </row>
    <row r="33" spans="1:26">
      <c r="A33" s="193">
        <v>4</v>
      </c>
      <c r="B33" s="286" t="s">
        <v>27</v>
      </c>
      <c r="C33" s="296"/>
      <c r="D33" s="132">
        <f>'Admin vs Prog'!C43</f>
        <v>74000</v>
      </c>
      <c r="E33" s="132"/>
      <c r="F33" s="132">
        <f>'Admin vs Prog'!D43</f>
        <v>42534</v>
      </c>
      <c r="G33" s="132"/>
      <c r="H33" s="198">
        <f t="shared" si="1"/>
        <v>31466</v>
      </c>
      <c r="I33" s="198">
        <v>31756</v>
      </c>
      <c r="J33" s="297"/>
      <c r="K33" s="298"/>
      <c r="L33" s="187"/>
      <c r="M33" s="187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204"/>
      <c r="Z33" s="204"/>
    </row>
    <row r="34" spans="1:26">
      <c r="A34" s="193">
        <v>5</v>
      </c>
      <c r="B34" s="286" t="s">
        <v>151</v>
      </c>
      <c r="C34" s="296"/>
      <c r="D34" s="132">
        <f>+'Admin vs Prog'!C51</f>
        <v>12000</v>
      </c>
      <c r="E34" s="132"/>
      <c r="F34" s="132">
        <f>+'Admin vs Prog'!D51</f>
        <v>6937.43</v>
      </c>
      <c r="G34" s="132"/>
      <c r="H34" s="198">
        <f t="shared" si="1"/>
        <v>5062.57</v>
      </c>
      <c r="I34" s="198">
        <v>3603</v>
      </c>
      <c r="J34" s="297"/>
      <c r="K34" s="298"/>
      <c r="L34" s="187"/>
      <c r="M34" s="187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204"/>
      <c r="Z34" s="204"/>
    </row>
    <row r="35" spans="1:26">
      <c r="A35" s="193">
        <v>6</v>
      </c>
      <c r="B35" s="291" t="s">
        <v>186</v>
      </c>
      <c r="C35" s="296"/>
      <c r="D35" s="132">
        <f>+'Admin vs Prog'!C53</f>
        <v>320000</v>
      </c>
      <c r="E35" s="132"/>
      <c r="F35" s="132">
        <f>+'Admin vs Prog'!D53</f>
        <v>93000</v>
      </c>
      <c r="G35" s="317"/>
      <c r="H35" s="198">
        <f t="shared" si="1"/>
        <v>227000</v>
      </c>
      <c r="I35" s="198">
        <v>129800</v>
      </c>
      <c r="J35" s="299"/>
      <c r="K35" s="298"/>
      <c r="L35" s="187"/>
      <c r="M35" s="187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204"/>
      <c r="Z35" s="204"/>
    </row>
    <row r="36" spans="1:26">
      <c r="A36" s="193">
        <v>7</v>
      </c>
      <c r="B36" s="291" t="s">
        <v>187</v>
      </c>
      <c r="C36" s="296"/>
      <c r="D36" s="132">
        <f>+'Admin vs Prog'!C54</f>
        <v>120000</v>
      </c>
      <c r="E36" s="132"/>
      <c r="F36" s="132">
        <f>'Admin vs Prog'!D54</f>
        <v>20000</v>
      </c>
      <c r="G36" s="317"/>
      <c r="H36" s="198">
        <f t="shared" si="1"/>
        <v>100000</v>
      </c>
      <c r="I36" s="198">
        <v>47000</v>
      </c>
      <c r="J36" s="297"/>
      <c r="K36" s="298"/>
      <c r="L36" s="187"/>
      <c r="M36" s="187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204"/>
      <c r="Z36" s="204"/>
    </row>
    <row r="37" spans="1:26">
      <c r="A37" s="193">
        <v>8</v>
      </c>
      <c r="B37" s="291" t="s">
        <v>292</v>
      </c>
      <c r="C37" s="296"/>
      <c r="D37" s="132">
        <f>+'Admin vs Prog'!C55</f>
        <v>211567</v>
      </c>
      <c r="E37" s="132"/>
      <c r="F37" s="132">
        <f>+'Admin vs Prog'!D55</f>
        <v>94826.08</v>
      </c>
      <c r="G37" s="132"/>
      <c r="H37" s="198">
        <f t="shared" si="1"/>
        <v>116740.92</v>
      </c>
      <c r="I37" s="198">
        <v>55661</v>
      </c>
      <c r="J37" s="300"/>
      <c r="K37" s="298"/>
      <c r="L37" s="187"/>
      <c r="M37" s="187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204"/>
      <c r="Z37" s="204"/>
    </row>
    <row r="38" spans="1:26">
      <c r="A38" s="193">
        <v>10</v>
      </c>
      <c r="B38" s="291" t="s">
        <v>106</v>
      </c>
      <c r="C38" s="296"/>
      <c r="D38" s="132">
        <f>'Admin vs Prog'!C56</f>
        <v>0.01</v>
      </c>
      <c r="E38" s="132"/>
      <c r="F38" s="132">
        <f>'Admin vs Prog'!D56</f>
        <v>-11250</v>
      </c>
      <c r="G38" s="132"/>
      <c r="H38" s="198">
        <f t="shared" si="1"/>
        <v>11250.01</v>
      </c>
      <c r="I38" s="198">
        <v>-50750</v>
      </c>
      <c r="J38" s="300"/>
      <c r="K38" s="298"/>
      <c r="L38" s="187"/>
      <c r="M38" s="187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204"/>
      <c r="Z38" s="204"/>
    </row>
    <row r="39" spans="1:26">
      <c r="B39" s="194" t="s">
        <v>28</v>
      </c>
      <c r="C39" s="296"/>
      <c r="D39" s="301">
        <f>SUM(D30:D38)</f>
        <v>1143171.01</v>
      </c>
      <c r="E39" s="200"/>
      <c r="F39" s="301">
        <f>SUM(F30:F38)</f>
        <v>542903.31999999995</v>
      </c>
      <c r="G39" s="200"/>
      <c r="H39" s="301">
        <f>SUM(H30:H38)</f>
        <v>600267.69000000006</v>
      </c>
      <c r="I39" s="301">
        <f>SUM(I29:I38)</f>
        <v>495393</v>
      </c>
      <c r="J39" s="293"/>
      <c r="K39" s="293"/>
      <c r="L39" s="187"/>
      <c r="M39" s="187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204"/>
      <c r="Z39" s="204"/>
    </row>
    <row r="40" spans="1:26">
      <c r="B40" s="228" t="s">
        <v>188</v>
      </c>
      <c r="C40" s="296"/>
      <c r="D40" s="223">
        <v>59297</v>
      </c>
      <c r="E40" s="202"/>
      <c r="F40" s="302">
        <f>'Admin vs Prog'!D59</f>
        <v>35678.97</v>
      </c>
      <c r="G40" s="302"/>
      <c r="H40" s="198">
        <f t="shared" si="1"/>
        <v>23618.03</v>
      </c>
      <c r="I40" s="198">
        <v>50329</v>
      </c>
      <c r="J40" s="293"/>
      <c r="K40" s="293"/>
      <c r="L40" s="187"/>
      <c r="M40" s="187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204"/>
      <c r="Z40" s="204"/>
    </row>
    <row r="41" spans="1:26">
      <c r="B41" s="228"/>
      <c r="C41" s="296"/>
      <c r="D41" s="223"/>
      <c r="E41" s="202"/>
      <c r="F41" s="302"/>
      <c r="G41" s="302"/>
      <c r="H41" s="198"/>
      <c r="I41" s="198"/>
      <c r="J41" s="293"/>
      <c r="K41" s="293"/>
      <c r="L41" s="187"/>
      <c r="M41" s="187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204"/>
      <c r="Z41" s="204"/>
    </row>
    <row r="42" spans="1:26" ht="13.5" thickBot="1">
      <c r="B42" s="194" t="s">
        <v>150</v>
      </c>
      <c r="C42" s="205"/>
      <c r="D42" s="202"/>
      <c r="E42" s="202"/>
      <c r="F42" s="304">
        <f>F25-F39-F40</f>
        <v>558963.3400000002</v>
      </c>
      <c r="G42" s="302"/>
      <c r="H42" s="303">
        <f>SUM(H34:H41)</f>
        <v>1083939.22</v>
      </c>
      <c r="I42" s="303">
        <f>SUM(I34:I41)</f>
        <v>731036</v>
      </c>
      <c r="J42" s="293"/>
      <c r="K42" s="298"/>
      <c r="L42" s="187"/>
      <c r="M42" s="187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204"/>
      <c r="Z42" s="204"/>
    </row>
    <row r="43" spans="1:26" ht="13.5" thickTop="1">
      <c r="B43" s="286"/>
      <c r="C43" s="305"/>
      <c r="D43" s="203"/>
      <c r="E43" s="203"/>
      <c r="F43" s="306"/>
      <c r="G43" s="203"/>
      <c r="H43" s="123"/>
      <c r="I43" s="123"/>
      <c r="J43" s="293"/>
      <c r="K43" s="293"/>
      <c r="L43" s="187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204"/>
      <c r="Z43" s="204"/>
    </row>
    <row r="44" spans="1:26">
      <c r="B44" s="228" t="s">
        <v>302</v>
      </c>
      <c r="D44" s="193"/>
      <c r="G44" s="307"/>
      <c r="H44" s="242"/>
      <c r="I44" s="242"/>
      <c r="J44" s="293"/>
      <c r="K44" s="293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204"/>
      <c r="Z44" s="204"/>
    </row>
    <row r="45" spans="1:26" s="337" customFormat="1">
      <c r="B45" s="228" t="s">
        <v>258</v>
      </c>
      <c r="C45" s="193"/>
      <c r="D45" s="193"/>
      <c r="E45" s="193"/>
      <c r="F45" s="193"/>
      <c r="G45" s="193"/>
      <c r="H45" s="193"/>
      <c r="I45" s="193"/>
    </row>
    <row r="46" spans="1:26">
      <c r="B46" s="228" t="s">
        <v>303</v>
      </c>
      <c r="D46" s="193"/>
      <c r="G46" s="175"/>
      <c r="H46" s="187"/>
      <c r="I46" s="187"/>
      <c r="J46" s="293"/>
      <c r="K46" s="293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204"/>
      <c r="Z46" s="204"/>
    </row>
    <row r="47" spans="1:26">
      <c r="B47" s="228" t="s">
        <v>259</v>
      </c>
      <c r="D47" s="193"/>
      <c r="J47" s="193"/>
      <c r="K47" s="193"/>
    </row>
    <row r="48" spans="1:26">
      <c r="B48" s="228" t="s">
        <v>312</v>
      </c>
      <c r="C48" s="138"/>
      <c r="D48" s="138"/>
      <c r="E48" s="138"/>
      <c r="F48" s="187"/>
      <c r="G48" s="307"/>
      <c r="H48" s="242"/>
      <c r="I48" s="243"/>
      <c r="J48" s="240"/>
      <c r="K48" s="193"/>
    </row>
    <row r="49" spans="2:26">
      <c r="B49" s="226"/>
      <c r="C49" s="192"/>
      <c r="D49" s="187"/>
      <c r="E49" s="187"/>
      <c r="F49" s="187"/>
      <c r="G49" s="187"/>
      <c r="H49" s="187"/>
      <c r="I49" s="187"/>
      <c r="J49" s="293"/>
      <c r="K49" s="293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204"/>
      <c r="Z49" s="204"/>
    </row>
    <row r="50" spans="2:26">
      <c r="B50" s="385" t="s">
        <v>304</v>
      </c>
      <c r="C50" s="192"/>
      <c r="D50" s="187"/>
      <c r="E50" s="187"/>
      <c r="F50" s="386">
        <v>866386</v>
      </c>
      <c r="G50" s="187"/>
      <c r="H50" s="226" t="s">
        <v>286</v>
      </c>
      <c r="I50" s="187"/>
      <c r="J50" s="293"/>
      <c r="K50" s="293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204"/>
      <c r="Z50" s="204"/>
    </row>
    <row r="51" spans="2:26">
      <c r="B51" s="387" t="s">
        <v>265</v>
      </c>
      <c r="C51" s="192"/>
      <c r="D51" s="187"/>
      <c r="E51" s="187"/>
      <c r="F51" s="391">
        <v>75000</v>
      </c>
      <c r="G51" s="187"/>
      <c r="H51" s="187"/>
      <c r="I51" s="187"/>
      <c r="J51" s="293"/>
      <c r="K51" s="293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204"/>
      <c r="Z51" s="204"/>
    </row>
    <row r="52" spans="2:26" ht="13.5" thickBot="1">
      <c r="B52" s="204"/>
      <c r="C52" s="192"/>
      <c r="D52" s="192"/>
      <c r="E52" s="192"/>
      <c r="F52" s="390">
        <f>SUM(F50:F51)</f>
        <v>941386</v>
      </c>
      <c r="G52" s="192"/>
      <c r="H52" s="192"/>
      <c r="I52" s="192"/>
      <c r="J52" s="293"/>
      <c r="K52" s="293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204"/>
      <c r="Z52" s="204"/>
    </row>
    <row r="53" spans="2:26" ht="13.5" thickTop="1">
      <c r="B53" s="204"/>
      <c r="C53" s="192"/>
      <c r="D53" s="192"/>
      <c r="E53" s="192"/>
      <c r="F53" s="192"/>
      <c r="G53" s="192"/>
      <c r="H53" s="308" t="s">
        <v>163</v>
      </c>
      <c r="I53" s="308"/>
      <c r="J53" s="293"/>
      <c r="K53" s="293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204"/>
      <c r="Z53" s="204"/>
    </row>
    <row r="54" spans="2:26">
      <c r="B54" s="204"/>
      <c r="C54" s="192"/>
      <c r="D54" s="192"/>
      <c r="E54" s="192"/>
      <c r="F54" s="192"/>
      <c r="G54" s="192"/>
      <c r="H54" s="192"/>
      <c r="I54" s="192"/>
      <c r="J54" s="293"/>
      <c r="K54" s="293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204"/>
      <c r="Z54" s="204"/>
    </row>
    <row r="55" spans="2:26">
      <c r="B55" s="204"/>
      <c r="C55" s="192"/>
      <c r="D55" s="338"/>
      <c r="E55" s="192"/>
      <c r="F55" s="192"/>
      <c r="G55" s="192"/>
      <c r="H55" s="192"/>
      <c r="I55" s="192"/>
      <c r="J55" s="293"/>
      <c r="K55" s="293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204"/>
      <c r="Z55" s="204"/>
    </row>
    <row r="56" spans="2:26">
      <c r="B56" s="204"/>
      <c r="C56" s="192"/>
      <c r="D56" s="338"/>
      <c r="E56" s="192"/>
      <c r="F56" s="192"/>
      <c r="G56" s="192"/>
      <c r="H56" s="192"/>
      <c r="I56" s="192"/>
      <c r="J56" s="293"/>
      <c r="K56" s="293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204"/>
      <c r="Z56" s="204"/>
    </row>
    <row r="57" spans="2:26">
      <c r="B57" s="204"/>
      <c r="C57" s="192"/>
      <c r="D57" s="338"/>
      <c r="E57" s="192"/>
      <c r="F57" s="192"/>
      <c r="G57" s="192"/>
      <c r="H57" s="192"/>
      <c r="I57" s="192"/>
      <c r="J57" s="293"/>
      <c r="K57" s="293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204"/>
      <c r="Z57" s="204"/>
    </row>
    <row r="58" spans="2:26">
      <c r="B58" s="204"/>
      <c r="C58" s="192"/>
      <c r="D58" s="338"/>
      <c r="E58" s="192"/>
      <c r="F58" s="192"/>
      <c r="G58" s="192"/>
      <c r="H58" s="192"/>
      <c r="I58" s="192"/>
      <c r="J58" s="293"/>
      <c r="K58" s="293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204"/>
      <c r="Z58" s="204"/>
    </row>
    <row r="59" spans="2:26">
      <c r="B59" s="204"/>
      <c r="C59" s="192"/>
      <c r="D59" s="338"/>
      <c r="E59" s="192"/>
      <c r="F59" s="192"/>
      <c r="G59" s="192"/>
      <c r="H59" s="192"/>
      <c r="I59" s="192"/>
      <c r="J59" s="293"/>
      <c r="K59" s="293"/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204"/>
      <c r="Z59" s="204"/>
    </row>
    <row r="60" spans="2:26">
      <c r="B60" s="204"/>
      <c r="C60" s="192"/>
      <c r="D60" s="338"/>
      <c r="E60" s="192"/>
      <c r="F60" s="192"/>
      <c r="G60" s="192"/>
      <c r="H60" s="192"/>
      <c r="I60" s="192"/>
      <c r="J60" s="293"/>
      <c r="K60" s="293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204"/>
      <c r="Z60" s="204"/>
    </row>
    <row r="61" spans="2:26">
      <c r="B61" s="204"/>
      <c r="C61" s="192"/>
      <c r="D61" s="338"/>
      <c r="E61" s="192"/>
      <c r="F61" s="192"/>
      <c r="G61" s="192"/>
      <c r="H61" s="192"/>
      <c r="I61" s="192"/>
      <c r="J61" s="293"/>
      <c r="K61" s="293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204"/>
      <c r="Z61" s="204"/>
    </row>
    <row r="62" spans="2:26">
      <c r="B62" s="204"/>
      <c r="C62" s="192"/>
      <c r="D62" s="338"/>
      <c r="E62" s="192"/>
      <c r="F62" s="192"/>
      <c r="G62" s="192"/>
      <c r="H62" s="192"/>
      <c r="I62" s="192"/>
      <c r="J62" s="293"/>
      <c r="K62" s="293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204"/>
      <c r="Z62" s="204"/>
    </row>
    <row r="63" spans="2:26">
      <c r="B63" s="204"/>
      <c r="C63" s="192"/>
      <c r="D63" s="338"/>
      <c r="E63" s="192"/>
      <c r="F63" s="192"/>
      <c r="G63" s="192"/>
      <c r="H63" s="192"/>
      <c r="I63" s="192"/>
      <c r="J63" s="293"/>
      <c r="K63" s="293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204"/>
      <c r="Z63" s="204"/>
    </row>
    <row r="64" spans="2:26">
      <c r="B64" s="204"/>
      <c r="C64" s="192"/>
      <c r="D64" s="338"/>
      <c r="E64" s="192"/>
      <c r="F64" s="192"/>
      <c r="G64" s="192"/>
      <c r="H64" s="192"/>
      <c r="I64" s="192"/>
      <c r="J64" s="293"/>
      <c r="K64" s="293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204"/>
      <c r="Z64" s="204"/>
    </row>
    <row r="65" spans="2:26">
      <c r="B65" s="204"/>
      <c r="C65" s="192"/>
      <c r="D65" s="338"/>
      <c r="E65" s="192"/>
      <c r="F65" s="192"/>
      <c r="G65" s="192"/>
      <c r="H65" s="192"/>
      <c r="I65" s="192"/>
      <c r="J65" s="293"/>
      <c r="K65" s="293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92"/>
      <c r="W65" s="192"/>
      <c r="X65" s="192"/>
      <c r="Y65" s="204"/>
      <c r="Z65" s="204"/>
    </row>
    <row r="66" spans="2:26">
      <c r="B66" s="204"/>
      <c r="C66" s="192"/>
      <c r="D66" s="338"/>
      <c r="E66" s="192"/>
      <c r="F66" s="192"/>
      <c r="G66" s="192"/>
      <c r="H66" s="192"/>
      <c r="I66" s="192"/>
      <c r="J66" s="293"/>
      <c r="K66" s="293"/>
      <c r="L66" s="192"/>
      <c r="M66" s="192"/>
      <c r="N66" s="192"/>
      <c r="O66" s="192"/>
      <c r="P66" s="192"/>
      <c r="Q66" s="192"/>
      <c r="R66" s="192"/>
      <c r="S66" s="192"/>
      <c r="T66" s="192"/>
      <c r="U66" s="192"/>
      <c r="V66" s="192"/>
      <c r="W66" s="192"/>
      <c r="X66" s="192"/>
      <c r="Y66" s="204"/>
      <c r="Z66" s="204"/>
    </row>
    <row r="67" spans="2:26">
      <c r="B67" s="204"/>
      <c r="C67" s="192"/>
      <c r="D67" s="338"/>
      <c r="E67" s="192"/>
      <c r="F67" s="192"/>
      <c r="G67" s="192"/>
      <c r="H67" s="192"/>
      <c r="I67" s="192"/>
      <c r="J67" s="293"/>
      <c r="K67" s="293"/>
      <c r="L67" s="192"/>
      <c r="M67" s="192"/>
      <c r="N67" s="192"/>
      <c r="O67" s="192"/>
      <c r="P67" s="192"/>
      <c r="Q67" s="192"/>
      <c r="R67" s="192"/>
      <c r="S67" s="192"/>
      <c r="T67" s="192"/>
      <c r="U67" s="192"/>
      <c r="V67" s="192"/>
      <c r="W67" s="192"/>
      <c r="X67" s="192"/>
      <c r="Y67" s="204"/>
      <c r="Z67" s="204"/>
    </row>
    <row r="68" spans="2:26">
      <c r="B68" s="204"/>
      <c r="C68" s="192"/>
      <c r="D68" s="338"/>
      <c r="E68" s="192"/>
      <c r="F68" s="192"/>
      <c r="G68" s="192"/>
      <c r="H68" s="192"/>
      <c r="I68" s="192"/>
      <c r="J68" s="293"/>
      <c r="K68" s="293"/>
      <c r="L68" s="192"/>
      <c r="M68" s="192"/>
      <c r="N68" s="192"/>
      <c r="O68" s="192"/>
      <c r="P68" s="192"/>
      <c r="Q68" s="192"/>
      <c r="R68" s="192"/>
      <c r="S68" s="192"/>
      <c r="T68" s="192"/>
      <c r="U68" s="192"/>
      <c r="V68" s="192"/>
      <c r="W68" s="192"/>
      <c r="X68" s="192"/>
      <c r="Y68" s="204"/>
      <c r="Z68" s="204"/>
    </row>
    <row r="69" spans="2:26">
      <c r="B69" s="204"/>
      <c r="C69" s="192"/>
      <c r="D69" s="338"/>
      <c r="E69" s="192"/>
      <c r="F69" s="192"/>
      <c r="G69" s="192"/>
      <c r="H69" s="192"/>
      <c r="I69" s="192"/>
      <c r="J69" s="293"/>
      <c r="K69" s="293"/>
      <c r="L69" s="192"/>
      <c r="M69" s="192"/>
      <c r="N69" s="192"/>
      <c r="O69" s="192"/>
      <c r="P69" s="192"/>
      <c r="Q69" s="192"/>
      <c r="R69" s="192"/>
      <c r="S69" s="192"/>
      <c r="T69" s="192"/>
      <c r="U69" s="192"/>
      <c r="V69" s="192"/>
      <c r="W69" s="192"/>
      <c r="X69" s="192"/>
      <c r="Y69" s="204"/>
      <c r="Z69" s="204"/>
    </row>
    <row r="70" spans="2:26">
      <c r="B70" s="204"/>
      <c r="C70" s="192"/>
      <c r="D70" s="338"/>
      <c r="E70" s="192"/>
      <c r="F70" s="192"/>
      <c r="G70" s="192"/>
      <c r="H70" s="192"/>
      <c r="I70" s="192"/>
      <c r="J70" s="293"/>
      <c r="K70" s="293"/>
      <c r="L70" s="192"/>
      <c r="M70" s="192"/>
      <c r="N70" s="192"/>
      <c r="O70" s="192"/>
      <c r="P70" s="192"/>
      <c r="Q70" s="192"/>
      <c r="R70" s="192"/>
      <c r="S70" s="192"/>
      <c r="T70" s="192"/>
      <c r="U70" s="192"/>
      <c r="V70" s="192"/>
      <c r="W70" s="192"/>
      <c r="X70" s="192"/>
      <c r="Y70" s="204"/>
      <c r="Z70" s="204"/>
    </row>
    <row r="71" spans="2:26">
      <c r="B71" s="204"/>
      <c r="C71" s="192"/>
      <c r="D71" s="338"/>
      <c r="E71" s="192"/>
      <c r="F71" s="192"/>
      <c r="G71" s="192"/>
      <c r="H71" s="192"/>
      <c r="I71" s="192"/>
      <c r="J71" s="293"/>
      <c r="K71" s="293"/>
      <c r="L71" s="192"/>
      <c r="M71" s="192"/>
      <c r="N71" s="192"/>
      <c r="O71" s="192"/>
      <c r="P71" s="192"/>
      <c r="Q71" s="192"/>
      <c r="R71" s="192"/>
      <c r="S71" s="192"/>
      <c r="T71" s="192"/>
      <c r="U71" s="192"/>
      <c r="V71" s="192"/>
      <c r="W71" s="192"/>
      <c r="X71" s="192"/>
      <c r="Y71" s="204"/>
      <c r="Z71" s="204"/>
    </row>
    <row r="72" spans="2:26">
      <c r="B72" s="204"/>
      <c r="C72" s="192"/>
      <c r="D72" s="338"/>
      <c r="E72" s="192"/>
      <c r="F72" s="192"/>
      <c r="G72" s="192"/>
      <c r="H72" s="192"/>
      <c r="I72" s="192"/>
      <c r="J72" s="293"/>
      <c r="K72" s="293"/>
      <c r="L72" s="192"/>
      <c r="M72" s="192"/>
      <c r="N72" s="192"/>
      <c r="O72" s="192"/>
      <c r="P72" s="192"/>
      <c r="Q72" s="192"/>
      <c r="R72" s="192"/>
      <c r="S72" s="192"/>
      <c r="T72" s="192"/>
      <c r="U72" s="192"/>
      <c r="V72" s="192"/>
      <c r="W72" s="192"/>
      <c r="X72" s="192"/>
      <c r="Y72" s="204"/>
      <c r="Z72" s="204"/>
    </row>
    <row r="73" spans="2:26">
      <c r="B73" s="204"/>
      <c r="C73" s="192"/>
      <c r="D73" s="338"/>
      <c r="E73" s="192"/>
      <c r="F73" s="192"/>
      <c r="G73" s="192"/>
      <c r="H73" s="192"/>
      <c r="I73" s="192"/>
      <c r="J73" s="293"/>
      <c r="K73" s="293"/>
      <c r="L73" s="192"/>
      <c r="M73" s="192"/>
      <c r="N73" s="192"/>
      <c r="O73" s="192"/>
      <c r="P73" s="192"/>
      <c r="Q73" s="192"/>
      <c r="R73" s="192"/>
      <c r="S73" s="192"/>
      <c r="T73" s="192"/>
      <c r="U73" s="192"/>
      <c r="V73" s="192"/>
      <c r="W73" s="192"/>
      <c r="X73" s="192"/>
      <c r="Y73" s="204"/>
      <c r="Z73" s="204"/>
    </row>
    <row r="74" spans="2:26">
      <c r="B74" s="204"/>
      <c r="C74" s="192"/>
      <c r="D74" s="338"/>
      <c r="E74" s="192"/>
      <c r="F74" s="192"/>
      <c r="G74" s="192"/>
      <c r="H74" s="192"/>
      <c r="I74" s="192"/>
      <c r="J74" s="293"/>
      <c r="K74" s="293"/>
      <c r="L74" s="192"/>
      <c r="M74" s="192"/>
      <c r="N74" s="192"/>
      <c r="O74" s="192"/>
      <c r="P74" s="192"/>
      <c r="Q74" s="192"/>
      <c r="R74" s="192"/>
      <c r="S74" s="192"/>
      <c r="T74" s="192"/>
      <c r="U74" s="192"/>
      <c r="V74" s="192"/>
      <c r="W74" s="192"/>
      <c r="X74" s="192"/>
      <c r="Y74" s="204"/>
      <c r="Z74" s="204"/>
    </row>
    <row r="75" spans="2:26">
      <c r="B75" s="204"/>
      <c r="C75" s="192"/>
      <c r="D75" s="338"/>
      <c r="E75" s="192"/>
      <c r="F75" s="192"/>
      <c r="G75" s="192"/>
      <c r="H75" s="192"/>
      <c r="I75" s="192"/>
      <c r="J75" s="293"/>
      <c r="K75" s="293"/>
      <c r="L75" s="192"/>
      <c r="M75" s="192"/>
      <c r="N75" s="192"/>
      <c r="O75" s="192"/>
      <c r="P75" s="192"/>
      <c r="Q75" s="192"/>
      <c r="R75" s="192"/>
      <c r="S75" s="192"/>
      <c r="T75" s="192"/>
      <c r="U75" s="192"/>
      <c r="V75" s="192"/>
      <c r="W75" s="192"/>
      <c r="X75" s="192"/>
      <c r="Y75" s="204"/>
      <c r="Z75" s="204"/>
    </row>
    <row r="76" spans="2:26">
      <c r="B76" s="204"/>
      <c r="C76" s="192"/>
      <c r="D76" s="338"/>
      <c r="E76" s="192"/>
      <c r="F76" s="192"/>
      <c r="G76" s="192"/>
      <c r="H76" s="192"/>
      <c r="I76" s="192"/>
      <c r="J76" s="293"/>
      <c r="K76" s="293"/>
      <c r="L76" s="192"/>
      <c r="M76" s="192"/>
      <c r="N76" s="192"/>
      <c r="O76" s="192"/>
      <c r="P76" s="192"/>
      <c r="Q76" s="192"/>
      <c r="R76" s="192"/>
      <c r="S76" s="192"/>
      <c r="T76" s="192"/>
      <c r="U76" s="192"/>
      <c r="V76" s="192"/>
      <c r="W76" s="192"/>
      <c r="X76" s="192"/>
      <c r="Y76" s="204"/>
      <c r="Z76" s="204"/>
    </row>
    <row r="77" spans="2:26">
      <c r="B77" s="204"/>
      <c r="C77" s="192"/>
      <c r="D77" s="338"/>
      <c r="E77" s="192"/>
      <c r="F77" s="192"/>
      <c r="G77" s="192"/>
      <c r="H77" s="192"/>
      <c r="I77" s="192"/>
      <c r="J77" s="293"/>
      <c r="K77" s="293"/>
      <c r="L77" s="192"/>
      <c r="M77" s="192"/>
      <c r="N77" s="192"/>
      <c r="O77" s="192"/>
      <c r="P77" s="192"/>
      <c r="Q77" s="192"/>
      <c r="R77" s="192"/>
      <c r="S77" s="192"/>
      <c r="T77" s="192"/>
      <c r="U77" s="192"/>
      <c r="V77" s="192"/>
      <c r="W77" s="192"/>
      <c r="X77" s="192"/>
      <c r="Y77" s="204"/>
      <c r="Z77" s="204"/>
    </row>
    <row r="78" spans="2:26">
      <c r="B78" s="204"/>
      <c r="C78" s="204"/>
      <c r="D78" s="339"/>
      <c r="E78" s="204"/>
      <c r="F78" s="204"/>
      <c r="G78" s="204"/>
      <c r="H78" s="204"/>
      <c r="I78" s="204"/>
      <c r="L78" s="204"/>
      <c r="M78" s="204"/>
      <c r="N78" s="204"/>
      <c r="O78" s="204"/>
      <c r="P78" s="204"/>
      <c r="Q78" s="204"/>
      <c r="R78" s="204"/>
      <c r="S78" s="204"/>
      <c r="T78" s="204"/>
      <c r="U78" s="204"/>
      <c r="V78" s="204"/>
      <c r="W78" s="204"/>
      <c r="X78" s="204"/>
      <c r="Y78" s="204"/>
      <c r="Z78" s="204"/>
    </row>
    <row r="79" spans="2:26">
      <c r="B79" s="204"/>
      <c r="C79" s="204"/>
      <c r="D79" s="339"/>
      <c r="E79" s="204"/>
      <c r="F79" s="204"/>
      <c r="G79" s="204"/>
      <c r="H79" s="204"/>
      <c r="I79" s="204"/>
      <c r="L79" s="204"/>
      <c r="M79" s="204"/>
      <c r="N79" s="204"/>
      <c r="O79" s="204"/>
      <c r="P79" s="204"/>
      <c r="Q79" s="204"/>
      <c r="R79" s="204"/>
      <c r="S79" s="204"/>
      <c r="T79" s="204"/>
      <c r="U79" s="204"/>
      <c r="V79" s="204"/>
      <c r="W79" s="204"/>
      <c r="X79" s="204"/>
      <c r="Y79" s="204"/>
      <c r="Z79" s="204"/>
    </row>
    <row r="80" spans="2:26">
      <c r="B80" s="204"/>
      <c r="C80" s="204"/>
      <c r="D80" s="339"/>
      <c r="E80" s="204"/>
      <c r="F80" s="204"/>
      <c r="G80" s="204"/>
      <c r="H80" s="204"/>
      <c r="I80" s="204"/>
      <c r="L80" s="204"/>
      <c r="M80" s="204"/>
      <c r="N80" s="204"/>
      <c r="O80" s="204"/>
      <c r="P80" s="204"/>
      <c r="Q80" s="204"/>
      <c r="R80" s="204"/>
      <c r="S80" s="204"/>
      <c r="T80" s="204"/>
      <c r="U80" s="204"/>
      <c r="V80" s="204"/>
      <c r="W80" s="204"/>
      <c r="X80" s="204"/>
      <c r="Y80" s="204"/>
      <c r="Z80" s="204"/>
    </row>
    <row r="81" spans="2:26">
      <c r="B81" s="204"/>
      <c r="C81" s="204"/>
      <c r="D81" s="339"/>
      <c r="E81" s="204"/>
      <c r="F81" s="204"/>
      <c r="G81" s="204"/>
      <c r="H81" s="204"/>
      <c r="I81" s="204"/>
      <c r="L81" s="204"/>
      <c r="M81" s="204"/>
      <c r="N81" s="204"/>
      <c r="O81" s="204"/>
      <c r="P81" s="204"/>
      <c r="Q81" s="204"/>
      <c r="R81" s="204"/>
      <c r="S81" s="204"/>
      <c r="T81" s="204"/>
      <c r="U81" s="204"/>
      <c r="V81" s="204"/>
      <c r="W81" s="204"/>
      <c r="X81" s="204"/>
      <c r="Y81" s="204"/>
      <c r="Z81" s="204"/>
    </row>
    <row r="82" spans="2:26">
      <c r="B82" s="204"/>
      <c r="C82" s="204"/>
      <c r="D82" s="339"/>
      <c r="E82" s="204"/>
      <c r="F82" s="204"/>
      <c r="G82" s="204"/>
      <c r="H82" s="204"/>
      <c r="I82" s="204"/>
      <c r="L82" s="204"/>
      <c r="M82" s="204"/>
      <c r="N82" s="204"/>
      <c r="O82" s="204"/>
      <c r="P82" s="204"/>
      <c r="Q82" s="204"/>
      <c r="R82" s="204"/>
      <c r="S82" s="204"/>
      <c r="T82" s="204"/>
      <c r="U82" s="204"/>
      <c r="V82" s="204"/>
      <c r="W82" s="204"/>
      <c r="X82" s="204"/>
      <c r="Y82" s="204"/>
      <c r="Z82" s="204"/>
    </row>
    <row r="83" spans="2:26">
      <c r="B83" s="204"/>
      <c r="C83" s="204"/>
      <c r="D83" s="339"/>
      <c r="E83" s="204"/>
      <c r="F83" s="204"/>
      <c r="G83" s="204"/>
      <c r="H83" s="204"/>
      <c r="I83" s="204"/>
      <c r="L83" s="204"/>
      <c r="M83" s="204"/>
      <c r="N83" s="204"/>
      <c r="O83" s="204"/>
      <c r="P83" s="204"/>
      <c r="Q83" s="204"/>
      <c r="R83" s="204"/>
      <c r="S83" s="204"/>
      <c r="T83" s="204"/>
      <c r="U83" s="204"/>
      <c r="V83" s="204"/>
      <c r="W83" s="204"/>
      <c r="X83" s="204"/>
      <c r="Y83" s="204"/>
      <c r="Z83" s="204"/>
    </row>
    <row r="84" spans="2:26">
      <c r="B84" s="204"/>
      <c r="C84" s="204"/>
      <c r="D84" s="339"/>
      <c r="E84" s="204"/>
      <c r="F84" s="204"/>
      <c r="G84" s="204"/>
      <c r="H84" s="204"/>
      <c r="I84" s="204"/>
      <c r="L84" s="204"/>
      <c r="M84" s="204"/>
      <c r="N84" s="204"/>
      <c r="O84" s="204"/>
      <c r="P84" s="204"/>
      <c r="Q84" s="204"/>
      <c r="R84" s="204"/>
      <c r="S84" s="204"/>
      <c r="T84" s="204"/>
      <c r="U84" s="204"/>
      <c r="V84" s="204"/>
      <c r="W84" s="204"/>
      <c r="X84" s="204"/>
      <c r="Y84" s="204"/>
      <c r="Z84" s="204"/>
    </row>
    <row r="85" spans="2:26">
      <c r="B85" s="204"/>
      <c r="C85" s="204"/>
      <c r="D85" s="339"/>
      <c r="E85" s="204"/>
      <c r="F85" s="204"/>
      <c r="G85" s="204"/>
      <c r="H85" s="204"/>
      <c r="I85" s="204"/>
      <c r="L85" s="204"/>
      <c r="M85" s="204"/>
      <c r="N85" s="204"/>
      <c r="O85" s="204"/>
      <c r="P85" s="204"/>
      <c r="Q85" s="204"/>
      <c r="R85" s="204"/>
      <c r="S85" s="204"/>
      <c r="T85" s="204"/>
      <c r="U85" s="204"/>
      <c r="V85" s="204"/>
      <c r="W85" s="204"/>
      <c r="X85" s="204"/>
      <c r="Y85" s="204"/>
      <c r="Z85" s="204"/>
    </row>
    <row r="86" spans="2:26">
      <c r="B86" s="204"/>
      <c r="C86" s="204"/>
      <c r="D86" s="339"/>
      <c r="E86" s="204"/>
      <c r="F86" s="204"/>
      <c r="G86" s="204"/>
      <c r="H86" s="204"/>
      <c r="I86" s="204"/>
      <c r="L86" s="204"/>
      <c r="M86" s="204"/>
      <c r="N86" s="204"/>
      <c r="O86" s="204"/>
      <c r="P86" s="204"/>
      <c r="Q86" s="204"/>
      <c r="R86" s="204"/>
      <c r="S86" s="204"/>
      <c r="T86" s="204"/>
      <c r="U86" s="204"/>
      <c r="V86" s="204"/>
      <c r="W86" s="204"/>
      <c r="X86" s="204"/>
      <c r="Y86" s="204"/>
      <c r="Z86" s="204"/>
    </row>
    <row r="87" spans="2:26">
      <c r="B87" s="204"/>
      <c r="C87" s="204"/>
      <c r="D87" s="339"/>
      <c r="E87" s="204"/>
      <c r="F87" s="204"/>
      <c r="G87" s="204"/>
      <c r="H87" s="204"/>
      <c r="I87" s="204"/>
      <c r="L87" s="204"/>
      <c r="M87" s="204"/>
      <c r="N87" s="204"/>
      <c r="O87" s="204"/>
      <c r="P87" s="204"/>
      <c r="Q87" s="204"/>
      <c r="R87" s="204"/>
      <c r="S87" s="204"/>
      <c r="T87" s="204"/>
      <c r="U87" s="204"/>
      <c r="V87" s="204"/>
      <c r="W87" s="204"/>
      <c r="X87" s="204"/>
      <c r="Y87" s="204"/>
      <c r="Z87" s="204"/>
    </row>
    <row r="88" spans="2:26">
      <c r="B88" s="204"/>
      <c r="C88" s="204"/>
      <c r="D88" s="339"/>
      <c r="E88" s="204"/>
      <c r="F88" s="204"/>
      <c r="G88" s="204"/>
      <c r="H88" s="204"/>
      <c r="I88" s="204"/>
      <c r="L88" s="204"/>
      <c r="M88" s="204"/>
      <c r="N88" s="204"/>
      <c r="O88" s="204"/>
      <c r="P88" s="204"/>
      <c r="Q88" s="204"/>
      <c r="R88" s="204"/>
      <c r="S88" s="204"/>
      <c r="T88" s="204"/>
      <c r="U88" s="204"/>
      <c r="V88" s="204"/>
      <c r="W88" s="204"/>
      <c r="X88" s="204"/>
      <c r="Y88" s="204"/>
      <c r="Z88" s="204"/>
    </row>
    <row r="89" spans="2:26">
      <c r="B89" s="204"/>
      <c r="C89" s="204"/>
      <c r="D89" s="339"/>
      <c r="E89" s="204"/>
      <c r="F89" s="204"/>
      <c r="G89" s="204"/>
      <c r="H89" s="204"/>
      <c r="I89" s="204"/>
      <c r="L89" s="204"/>
      <c r="M89" s="204"/>
      <c r="N89" s="204"/>
      <c r="O89" s="204"/>
      <c r="P89" s="204"/>
      <c r="Q89" s="204"/>
      <c r="R89" s="204"/>
      <c r="S89" s="204"/>
      <c r="T89" s="204"/>
      <c r="U89" s="204"/>
      <c r="V89" s="204"/>
      <c r="W89" s="204"/>
      <c r="X89" s="204"/>
      <c r="Y89" s="204"/>
      <c r="Z89" s="204"/>
    </row>
    <row r="90" spans="2:26">
      <c r="B90" s="204"/>
      <c r="C90" s="204"/>
      <c r="D90" s="339"/>
      <c r="E90" s="204"/>
      <c r="F90" s="204"/>
      <c r="G90" s="204"/>
      <c r="H90" s="204"/>
      <c r="I90" s="204"/>
      <c r="L90" s="204"/>
      <c r="M90" s="204"/>
      <c r="N90" s="204"/>
      <c r="O90" s="204"/>
      <c r="P90" s="204"/>
      <c r="Q90" s="204"/>
      <c r="R90" s="204"/>
      <c r="S90" s="204"/>
      <c r="T90" s="204"/>
      <c r="U90" s="204"/>
      <c r="V90" s="204"/>
      <c r="W90" s="204"/>
      <c r="X90" s="204"/>
      <c r="Y90" s="204"/>
      <c r="Z90" s="204"/>
    </row>
    <row r="91" spans="2:26">
      <c r="B91" s="204"/>
      <c r="C91" s="204"/>
      <c r="D91" s="339"/>
      <c r="E91" s="204"/>
      <c r="F91" s="204"/>
      <c r="G91" s="204"/>
      <c r="H91" s="204"/>
      <c r="I91" s="204"/>
      <c r="L91" s="204"/>
      <c r="M91" s="204"/>
      <c r="N91" s="204"/>
      <c r="O91" s="204"/>
      <c r="P91" s="204"/>
      <c r="Q91" s="204"/>
      <c r="R91" s="204"/>
      <c r="S91" s="204"/>
      <c r="T91" s="204"/>
      <c r="U91" s="204"/>
      <c r="V91" s="204"/>
      <c r="W91" s="204"/>
      <c r="X91" s="204"/>
      <c r="Y91" s="204"/>
      <c r="Z91" s="204"/>
    </row>
    <row r="92" spans="2:26">
      <c r="B92" s="204"/>
      <c r="C92" s="204"/>
      <c r="D92" s="339"/>
      <c r="E92" s="204"/>
      <c r="F92" s="204"/>
      <c r="G92" s="204"/>
      <c r="H92" s="204"/>
      <c r="I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</row>
    <row r="93" spans="2:26">
      <c r="B93" s="204"/>
      <c r="C93" s="204"/>
      <c r="D93" s="339"/>
      <c r="E93" s="204"/>
      <c r="F93" s="204"/>
      <c r="G93" s="204"/>
      <c r="H93" s="204"/>
      <c r="I93" s="204"/>
      <c r="L93" s="204"/>
      <c r="M93" s="204"/>
      <c r="N93" s="204"/>
      <c r="O93" s="204"/>
      <c r="P93" s="204"/>
      <c r="Q93" s="204"/>
      <c r="R93" s="204"/>
      <c r="S93" s="204"/>
      <c r="T93" s="204"/>
      <c r="U93" s="204"/>
      <c r="V93" s="204"/>
      <c r="W93" s="204"/>
      <c r="X93" s="204"/>
      <c r="Y93" s="204"/>
      <c r="Z93" s="204"/>
    </row>
    <row r="94" spans="2:26">
      <c r="B94" s="204"/>
      <c r="C94" s="204"/>
      <c r="D94" s="339"/>
      <c r="E94" s="204"/>
      <c r="F94" s="204"/>
      <c r="G94" s="204"/>
      <c r="H94" s="204"/>
      <c r="I94" s="204"/>
      <c r="L94" s="204"/>
      <c r="M94" s="204"/>
      <c r="N94" s="204"/>
      <c r="O94" s="204"/>
      <c r="P94" s="204"/>
      <c r="Q94" s="204"/>
      <c r="R94" s="204"/>
      <c r="S94" s="204"/>
      <c r="T94" s="204"/>
      <c r="U94" s="204"/>
      <c r="V94" s="204"/>
      <c r="W94" s="204"/>
      <c r="X94" s="204"/>
      <c r="Y94" s="204"/>
      <c r="Z94" s="204"/>
    </row>
    <row r="95" spans="2:26">
      <c r="B95" s="204"/>
      <c r="C95" s="204"/>
      <c r="D95" s="339"/>
      <c r="E95" s="204"/>
      <c r="F95" s="204"/>
      <c r="G95" s="204"/>
      <c r="H95" s="204"/>
      <c r="I95" s="204"/>
      <c r="L95" s="204"/>
      <c r="M95" s="204"/>
      <c r="N95" s="204"/>
      <c r="O95" s="204"/>
      <c r="P95" s="204"/>
      <c r="Q95" s="204"/>
      <c r="R95" s="204"/>
      <c r="S95" s="204"/>
      <c r="T95" s="204"/>
      <c r="U95" s="204"/>
      <c r="V95" s="204"/>
      <c r="W95" s="204"/>
      <c r="X95" s="204"/>
      <c r="Y95" s="204"/>
      <c r="Z95" s="204"/>
    </row>
    <row r="96" spans="2:26">
      <c r="B96" s="204"/>
      <c r="C96" s="204"/>
      <c r="D96" s="339"/>
      <c r="E96" s="204"/>
      <c r="F96" s="204"/>
      <c r="G96" s="204"/>
      <c r="H96" s="204"/>
      <c r="I96" s="204"/>
      <c r="L96" s="204"/>
      <c r="M96" s="204"/>
      <c r="N96" s="204"/>
      <c r="O96" s="204"/>
      <c r="P96" s="204"/>
      <c r="Q96" s="204"/>
      <c r="R96" s="204"/>
      <c r="S96" s="204"/>
      <c r="T96" s="204"/>
      <c r="U96" s="204"/>
      <c r="V96" s="204"/>
      <c r="W96" s="204"/>
      <c r="X96" s="204"/>
      <c r="Y96" s="204"/>
      <c r="Z96" s="204"/>
    </row>
    <row r="97" spans="2:26">
      <c r="B97" s="204"/>
      <c r="C97" s="204"/>
      <c r="D97" s="339"/>
      <c r="E97" s="204"/>
      <c r="F97" s="204"/>
      <c r="G97" s="204"/>
      <c r="H97" s="204"/>
      <c r="I97" s="204"/>
      <c r="L97" s="204"/>
      <c r="M97" s="204"/>
      <c r="N97" s="204"/>
      <c r="O97" s="204"/>
      <c r="P97" s="204"/>
      <c r="Q97" s="204"/>
      <c r="R97" s="204"/>
      <c r="S97" s="204"/>
      <c r="T97" s="204"/>
      <c r="U97" s="204"/>
      <c r="V97" s="204"/>
      <c r="W97" s="204"/>
      <c r="X97" s="204"/>
      <c r="Y97" s="204"/>
      <c r="Z97" s="204"/>
    </row>
    <row r="98" spans="2:26">
      <c r="B98" s="204"/>
      <c r="C98" s="204"/>
      <c r="D98" s="339"/>
      <c r="E98" s="204"/>
      <c r="F98" s="204"/>
      <c r="G98" s="204"/>
      <c r="H98" s="204"/>
      <c r="I98" s="204"/>
      <c r="L98" s="204"/>
      <c r="M98" s="204"/>
      <c r="N98" s="204"/>
      <c r="O98" s="204"/>
      <c r="P98" s="204"/>
      <c r="Q98" s="204"/>
      <c r="R98" s="204"/>
      <c r="S98" s="204"/>
      <c r="T98" s="204"/>
      <c r="U98" s="204"/>
      <c r="V98" s="204"/>
      <c r="W98" s="204"/>
      <c r="X98" s="204"/>
      <c r="Y98" s="204"/>
      <c r="Z98" s="204"/>
    </row>
    <row r="99" spans="2:26">
      <c r="B99" s="204"/>
      <c r="C99" s="204"/>
      <c r="D99" s="339"/>
      <c r="E99" s="204"/>
      <c r="F99" s="204"/>
      <c r="G99" s="204"/>
      <c r="H99" s="204"/>
      <c r="I99" s="204"/>
      <c r="L99" s="204"/>
      <c r="M99" s="204"/>
      <c r="N99" s="204"/>
      <c r="O99" s="204"/>
      <c r="P99" s="204"/>
      <c r="Q99" s="204"/>
      <c r="R99" s="204"/>
      <c r="S99" s="204"/>
      <c r="T99" s="204"/>
      <c r="U99" s="204"/>
      <c r="V99" s="204"/>
      <c r="W99" s="204"/>
      <c r="X99" s="204"/>
      <c r="Y99" s="204"/>
      <c r="Z99" s="204"/>
    </row>
    <row r="100" spans="2:26">
      <c r="B100" s="204"/>
      <c r="C100" s="204"/>
      <c r="D100" s="339"/>
      <c r="E100" s="204"/>
      <c r="F100" s="204"/>
      <c r="G100" s="204"/>
      <c r="H100" s="204"/>
      <c r="I100" s="204"/>
      <c r="L100" s="204"/>
      <c r="M100" s="204"/>
      <c r="N100" s="204"/>
      <c r="O100" s="204"/>
      <c r="P100" s="204"/>
      <c r="Q100" s="204"/>
      <c r="R100" s="204"/>
      <c r="S100" s="204"/>
      <c r="T100" s="204"/>
      <c r="U100" s="204"/>
      <c r="V100" s="204"/>
      <c r="W100" s="204"/>
      <c r="X100" s="204"/>
      <c r="Y100" s="204"/>
      <c r="Z100" s="204"/>
    </row>
    <row r="101" spans="2:26">
      <c r="B101" s="204"/>
      <c r="C101" s="204"/>
      <c r="D101" s="339"/>
      <c r="E101" s="204"/>
      <c r="F101" s="204"/>
      <c r="G101" s="204"/>
      <c r="H101" s="204"/>
      <c r="I101" s="204"/>
      <c r="L101" s="204"/>
      <c r="M101" s="204"/>
      <c r="N101" s="204"/>
      <c r="O101" s="204"/>
      <c r="P101" s="204"/>
      <c r="Q101" s="204"/>
      <c r="R101" s="204"/>
      <c r="S101" s="204"/>
      <c r="T101" s="204"/>
      <c r="U101" s="204"/>
      <c r="V101" s="204"/>
      <c r="W101" s="204"/>
      <c r="X101" s="204"/>
      <c r="Y101" s="204"/>
      <c r="Z101" s="204"/>
    </row>
    <row r="102" spans="2:26">
      <c r="B102" s="204"/>
      <c r="C102" s="204"/>
      <c r="D102" s="339"/>
      <c r="E102" s="204"/>
      <c r="F102" s="204"/>
      <c r="G102" s="204"/>
      <c r="H102" s="204"/>
      <c r="I102" s="204"/>
      <c r="L102" s="204"/>
      <c r="M102" s="204"/>
      <c r="N102" s="204"/>
      <c r="O102" s="204"/>
      <c r="P102" s="204"/>
      <c r="Q102" s="204"/>
      <c r="R102" s="204"/>
      <c r="S102" s="204"/>
      <c r="T102" s="204"/>
      <c r="U102" s="204"/>
      <c r="V102" s="204"/>
      <c r="W102" s="204"/>
      <c r="X102" s="204"/>
      <c r="Y102" s="204"/>
      <c r="Z102" s="204"/>
    </row>
    <row r="103" spans="2:26">
      <c r="B103" s="204"/>
      <c r="C103" s="204"/>
      <c r="D103" s="339"/>
      <c r="E103" s="204"/>
      <c r="F103" s="204"/>
      <c r="G103" s="204"/>
      <c r="H103" s="204"/>
      <c r="I103" s="204"/>
      <c r="L103" s="204"/>
      <c r="M103" s="204"/>
      <c r="N103" s="204"/>
      <c r="O103" s="204"/>
      <c r="P103" s="204"/>
      <c r="Q103" s="204"/>
      <c r="R103" s="204"/>
      <c r="S103" s="204"/>
      <c r="T103" s="204"/>
      <c r="U103" s="204"/>
      <c r="V103" s="204"/>
      <c r="W103" s="204"/>
      <c r="X103" s="204"/>
      <c r="Y103" s="204"/>
      <c r="Z103" s="204"/>
    </row>
    <row r="104" spans="2:26">
      <c r="B104" s="204"/>
      <c r="C104" s="204"/>
      <c r="D104" s="339"/>
      <c r="E104" s="204"/>
      <c r="F104" s="204"/>
      <c r="G104" s="204"/>
      <c r="H104" s="204"/>
      <c r="I104" s="204"/>
      <c r="L104" s="204"/>
      <c r="M104" s="204"/>
      <c r="N104" s="204"/>
      <c r="O104" s="204"/>
      <c r="P104" s="204"/>
      <c r="Q104" s="204"/>
      <c r="R104" s="204"/>
      <c r="S104" s="204"/>
      <c r="T104" s="204"/>
      <c r="U104" s="204"/>
      <c r="V104" s="204"/>
      <c r="W104" s="204"/>
      <c r="X104" s="204"/>
      <c r="Y104" s="204"/>
      <c r="Z104" s="204"/>
    </row>
    <row r="105" spans="2:26">
      <c r="B105" s="204"/>
      <c r="C105" s="204"/>
      <c r="D105" s="339"/>
      <c r="E105" s="204"/>
      <c r="F105" s="204"/>
      <c r="G105" s="204"/>
      <c r="H105" s="204"/>
      <c r="I105" s="204"/>
      <c r="L105" s="204"/>
      <c r="M105" s="204"/>
      <c r="N105" s="204"/>
      <c r="O105" s="204"/>
      <c r="P105" s="204"/>
      <c r="Q105" s="204"/>
      <c r="R105" s="204"/>
      <c r="S105" s="204"/>
      <c r="T105" s="204"/>
      <c r="U105" s="204"/>
      <c r="V105" s="204"/>
      <c r="W105" s="204"/>
      <c r="X105" s="204"/>
      <c r="Y105" s="204"/>
      <c r="Z105" s="204"/>
    </row>
    <row r="106" spans="2:26">
      <c r="B106" s="204"/>
      <c r="C106" s="204"/>
      <c r="D106" s="339"/>
      <c r="E106" s="204"/>
      <c r="F106" s="204"/>
      <c r="G106" s="204"/>
      <c r="H106" s="204"/>
      <c r="I106" s="204"/>
      <c r="L106" s="204"/>
      <c r="M106" s="204"/>
      <c r="N106" s="204"/>
      <c r="O106" s="204"/>
      <c r="P106" s="204"/>
      <c r="Q106" s="204"/>
      <c r="R106" s="204"/>
      <c r="S106" s="204"/>
      <c r="T106" s="204"/>
      <c r="U106" s="204"/>
      <c r="V106" s="204"/>
      <c r="W106" s="204"/>
      <c r="X106" s="204"/>
      <c r="Y106" s="204"/>
      <c r="Z106" s="204"/>
    </row>
    <row r="107" spans="2:26">
      <c r="B107" s="204"/>
      <c r="C107" s="204"/>
      <c r="D107" s="339"/>
      <c r="E107" s="204"/>
      <c r="F107" s="204"/>
      <c r="G107" s="204"/>
      <c r="H107" s="204"/>
      <c r="I107" s="204"/>
      <c r="L107" s="204"/>
      <c r="M107" s="204"/>
      <c r="N107" s="204"/>
      <c r="O107" s="204"/>
      <c r="P107" s="204"/>
      <c r="Q107" s="204"/>
      <c r="R107" s="204"/>
      <c r="S107" s="204"/>
      <c r="T107" s="204"/>
      <c r="U107" s="204"/>
      <c r="V107" s="204"/>
      <c r="W107" s="204"/>
      <c r="X107" s="204"/>
      <c r="Y107" s="204"/>
      <c r="Z107" s="204"/>
    </row>
    <row r="108" spans="2:26">
      <c r="B108" s="204"/>
      <c r="C108" s="204"/>
      <c r="D108" s="339"/>
      <c r="E108" s="204"/>
      <c r="F108" s="204"/>
      <c r="G108" s="204"/>
      <c r="H108" s="204"/>
      <c r="I108" s="204"/>
      <c r="L108" s="204"/>
      <c r="M108" s="204"/>
      <c r="N108" s="204"/>
      <c r="O108" s="204"/>
      <c r="P108" s="204"/>
      <c r="Q108" s="204"/>
      <c r="R108" s="204"/>
      <c r="S108" s="204"/>
      <c r="T108" s="204"/>
      <c r="U108" s="204"/>
      <c r="V108" s="204"/>
      <c r="W108" s="204"/>
      <c r="X108" s="204"/>
      <c r="Y108" s="204"/>
      <c r="Z108" s="204"/>
    </row>
    <row r="109" spans="2:26">
      <c r="B109" s="204"/>
      <c r="C109" s="204"/>
      <c r="D109" s="339"/>
      <c r="E109" s="204"/>
      <c r="F109" s="204"/>
      <c r="G109" s="204"/>
      <c r="H109" s="204"/>
      <c r="I109" s="204"/>
      <c r="L109" s="204"/>
      <c r="M109" s="204"/>
      <c r="N109" s="204"/>
      <c r="O109" s="204"/>
      <c r="P109" s="204"/>
      <c r="Q109" s="204"/>
      <c r="R109" s="204"/>
      <c r="S109" s="204"/>
      <c r="T109" s="204"/>
      <c r="U109" s="204"/>
      <c r="V109" s="204"/>
      <c r="W109" s="204"/>
      <c r="X109" s="204"/>
      <c r="Y109" s="204"/>
      <c r="Z109" s="204"/>
    </row>
    <row r="110" spans="2:26">
      <c r="B110" s="204"/>
      <c r="C110" s="204"/>
      <c r="D110" s="339"/>
      <c r="E110" s="204"/>
      <c r="F110" s="204"/>
      <c r="G110" s="204"/>
      <c r="H110" s="204"/>
      <c r="I110" s="204"/>
      <c r="L110" s="204"/>
      <c r="M110" s="204"/>
      <c r="N110" s="204"/>
      <c r="O110" s="204"/>
      <c r="P110" s="204"/>
      <c r="Q110" s="204"/>
      <c r="R110" s="204"/>
      <c r="S110" s="204"/>
      <c r="T110" s="204"/>
      <c r="U110" s="204"/>
      <c r="V110" s="204"/>
      <c r="W110" s="204"/>
      <c r="X110" s="204"/>
      <c r="Y110" s="204"/>
      <c r="Z110" s="204"/>
    </row>
    <row r="111" spans="2:26">
      <c r="B111" s="204"/>
      <c r="C111" s="204"/>
      <c r="D111" s="339"/>
      <c r="E111" s="204"/>
      <c r="F111" s="204"/>
      <c r="G111" s="204"/>
      <c r="H111" s="204"/>
      <c r="I111" s="204"/>
      <c r="L111" s="204"/>
      <c r="M111" s="204"/>
      <c r="N111" s="204"/>
      <c r="O111" s="204"/>
      <c r="P111" s="204"/>
      <c r="Q111" s="204"/>
      <c r="R111" s="204"/>
      <c r="S111" s="204"/>
      <c r="T111" s="204"/>
      <c r="U111" s="204"/>
      <c r="V111" s="204"/>
      <c r="W111" s="204"/>
      <c r="X111" s="204"/>
      <c r="Y111" s="204"/>
      <c r="Z111" s="204"/>
    </row>
    <row r="112" spans="2:26">
      <c r="B112" s="204"/>
      <c r="C112" s="204"/>
      <c r="D112" s="339"/>
      <c r="E112" s="204"/>
      <c r="F112" s="204"/>
      <c r="G112" s="204"/>
      <c r="H112" s="204"/>
      <c r="I112" s="204"/>
      <c r="L112" s="204"/>
      <c r="M112" s="204"/>
      <c r="N112" s="204"/>
      <c r="O112" s="204"/>
      <c r="P112" s="204"/>
      <c r="Q112" s="204"/>
      <c r="R112" s="204"/>
      <c r="S112" s="204"/>
      <c r="T112" s="204"/>
      <c r="U112" s="204"/>
      <c r="V112" s="204"/>
      <c r="W112" s="204"/>
      <c r="X112" s="204"/>
      <c r="Y112" s="204"/>
      <c r="Z112" s="204"/>
    </row>
    <row r="113" spans="2:26">
      <c r="B113" s="204"/>
      <c r="C113" s="204"/>
      <c r="D113" s="339"/>
      <c r="E113" s="204"/>
      <c r="F113" s="204"/>
      <c r="G113" s="204"/>
      <c r="H113" s="204"/>
      <c r="I113" s="204"/>
      <c r="L113" s="204"/>
      <c r="M113" s="204"/>
      <c r="N113" s="204"/>
      <c r="O113" s="204"/>
      <c r="P113" s="204"/>
      <c r="Q113" s="204"/>
      <c r="R113" s="204"/>
      <c r="S113" s="204"/>
      <c r="T113" s="204"/>
      <c r="U113" s="204"/>
      <c r="V113" s="204"/>
      <c r="W113" s="204"/>
      <c r="X113" s="204"/>
      <c r="Y113" s="204"/>
      <c r="Z113" s="204"/>
    </row>
    <row r="114" spans="2:26">
      <c r="B114" s="204"/>
      <c r="C114" s="204"/>
      <c r="D114" s="339"/>
      <c r="E114" s="204"/>
      <c r="F114" s="204"/>
      <c r="G114" s="204"/>
      <c r="H114" s="204"/>
      <c r="I114" s="204"/>
      <c r="L114" s="204"/>
      <c r="M114" s="204"/>
      <c r="N114" s="204"/>
      <c r="O114" s="204"/>
      <c r="P114" s="204"/>
      <c r="Q114" s="204"/>
      <c r="R114" s="204"/>
      <c r="S114" s="204"/>
      <c r="T114" s="204"/>
      <c r="U114" s="204"/>
      <c r="V114" s="204"/>
      <c r="W114" s="204"/>
      <c r="X114" s="204"/>
      <c r="Y114" s="204"/>
      <c r="Z114" s="204"/>
    </row>
    <row r="115" spans="2:26">
      <c r="B115" s="204"/>
      <c r="C115" s="204"/>
      <c r="D115" s="339"/>
      <c r="E115" s="204"/>
      <c r="F115" s="204"/>
      <c r="G115" s="204"/>
      <c r="H115" s="204"/>
      <c r="I115" s="204"/>
      <c r="L115" s="204"/>
      <c r="M115" s="204"/>
      <c r="N115" s="204"/>
      <c r="O115" s="204"/>
      <c r="P115" s="204"/>
      <c r="Q115" s="204"/>
      <c r="R115" s="204"/>
      <c r="S115" s="204"/>
      <c r="T115" s="204"/>
      <c r="U115" s="204"/>
      <c r="V115" s="204"/>
      <c r="W115" s="204"/>
      <c r="X115" s="204"/>
      <c r="Y115" s="204"/>
      <c r="Z115" s="204"/>
    </row>
    <row r="116" spans="2:26">
      <c r="B116" s="204"/>
      <c r="C116" s="204"/>
      <c r="D116" s="339"/>
      <c r="E116" s="204"/>
      <c r="F116" s="204"/>
      <c r="G116" s="204"/>
      <c r="H116" s="204"/>
      <c r="I116" s="204"/>
      <c r="L116" s="204"/>
      <c r="M116" s="204"/>
      <c r="N116" s="204"/>
      <c r="O116" s="204"/>
      <c r="P116" s="204"/>
      <c r="Q116" s="204"/>
      <c r="R116" s="204"/>
      <c r="S116" s="204"/>
      <c r="T116" s="204"/>
      <c r="U116" s="204"/>
      <c r="V116" s="204"/>
      <c r="W116" s="204"/>
      <c r="X116" s="204"/>
      <c r="Y116" s="204"/>
      <c r="Z116" s="204"/>
    </row>
    <row r="117" spans="2:26">
      <c r="B117" s="204"/>
      <c r="C117" s="204"/>
      <c r="D117" s="339"/>
      <c r="E117" s="204"/>
      <c r="F117" s="204"/>
      <c r="G117" s="204"/>
      <c r="H117" s="204"/>
      <c r="I117" s="204"/>
      <c r="L117" s="204"/>
      <c r="M117" s="204"/>
      <c r="N117" s="204"/>
      <c r="O117" s="204"/>
      <c r="P117" s="204"/>
      <c r="Q117" s="204"/>
      <c r="R117" s="204"/>
      <c r="S117" s="204"/>
      <c r="T117" s="204"/>
      <c r="U117" s="204"/>
      <c r="V117" s="204"/>
      <c r="W117" s="204"/>
      <c r="X117" s="204"/>
      <c r="Y117" s="204"/>
      <c r="Z117" s="204"/>
    </row>
    <row r="118" spans="2:26">
      <c r="B118" s="204"/>
      <c r="C118" s="204"/>
      <c r="D118" s="339"/>
      <c r="E118" s="204"/>
      <c r="F118" s="204"/>
      <c r="G118" s="204"/>
      <c r="H118" s="204"/>
      <c r="I118" s="204"/>
      <c r="L118" s="204"/>
      <c r="M118" s="204"/>
      <c r="N118" s="204"/>
      <c r="O118" s="204"/>
      <c r="P118" s="204"/>
      <c r="Q118" s="204"/>
      <c r="R118" s="204"/>
      <c r="S118" s="204"/>
      <c r="T118" s="204"/>
      <c r="U118" s="204"/>
      <c r="V118" s="204"/>
      <c r="W118" s="204"/>
      <c r="X118" s="204"/>
      <c r="Y118" s="204"/>
      <c r="Z118" s="204"/>
    </row>
    <row r="119" spans="2:26">
      <c r="B119" s="204"/>
      <c r="C119" s="204"/>
      <c r="D119" s="339"/>
      <c r="E119" s="204"/>
      <c r="F119" s="204"/>
      <c r="G119" s="204"/>
      <c r="H119" s="204"/>
      <c r="I119" s="204"/>
      <c r="L119" s="204"/>
      <c r="M119" s="204"/>
      <c r="N119" s="204"/>
      <c r="O119" s="204"/>
      <c r="P119" s="204"/>
      <c r="Q119" s="204"/>
      <c r="R119" s="204"/>
      <c r="S119" s="204"/>
      <c r="T119" s="204"/>
      <c r="U119" s="204"/>
      <c r="V119" s="204"/>
      <c r="W119" s="204"/>
      <c r="X119" s="204"/>
      <c r="Y119" s="204"/>
      <c r="Z119" s="204"/>
    </row>
    <row r="120" spans="2:26">
      <c r="B120" s="204"/>
      <c r="C120" s="204"/>
      <c r="D120" s="339"/>
      <c r="E120" s="204"/>
      <c r="F120" s="204"/>
      <c r="G120" s="204"/>
      <c r="H120" s="204"/>
      <c r="I120" s="204"/>
      <c r="L120" s="204"/>
      <c r="M120" s="204"/>
      <c r="N120" s="204"/>
      <c r="O120" s="204"/>
      <c r="P120" s="204"/>
      <c r="Q120" s="204"/>
      <c r="R120" s="204"/>
      <c r="S120" s="204"/>
      <c r="T120" s="204"/>
      <c r="U120" s="204"/>
      <c r="V120" s="204"/>
      <c r="W120" s="204"/>
      <c r="X120" s="204"/>
      <c r="Y120" s="204"/>
      <c r="Z120" s="204"/>
    </row>
    <row r="121" spans="2:26">
      <c r="B121" s="204"/>
      <c r="C121" s="204"/>
      <c r="D121" s="339"/>
      <c r="E121" s="204"/>
      <c r="F121" s="204"/>
      <c r="G121" s="204"/>
      <c r="H121" s="204"/>
      <c r="I121" s="204"/>
      <c r="L121" s="204"/>
      <c r="M121" s="204"/>
      <c r="N121" s="204"/>
      <c r="O121" s="204"/>
      <c r="P121" s="204"/>
      <c r="Q121" s="204"/>
      <c r="R121" s="204"/>
      <c r="S121" s="204"/>
      <c r="T121" s="204"/>
      <c r="U121" s="204"/>
      <c r="V121" s="204"/>
      <c r="W121" s="204"/>
      <c r="X121" s="204"/>
      <c r="Y121" s="204"/>
      <c r="Z121" s="204"/>
    </row>
    <row r="122" spans="2:26">
      <c r="B122" s="204"/>
      <c r="C122" s="204"/>
      <c r="D122" s="339"/>
      <c r="E122" s="204"/>
      <c r="F122" s="204"/>
      <c r="G122" s="204"/>
      <c r="H122" s="204"/>
      <c r="I122" s="204"/>
      <c r="L122" s="204"/>
      <c r="M122" s="204"/>
      <c r="N122" s="204"/>
      <c r="O122" s="204"/>
      <c r="P122" s="204"/>
      <c r="Q122" s="204"/>
      <c r="R122" s="204"/>
      <c r="S122" s="204"/>
      <c r="T122" s="204"/>
      <c r="U122" s="204"/>
      <c r="V122" s="204"/>
      <c r="W122" s="204"/>
      <c r="X122" s="204"/>
      <c r="Y122" s="204"/>
      <c r="Z122" s="204"/>
    </row>
    <row r="123" spans="2:26">
      <c r="B123" s="204"/>
      <c r="C123" s="204"/>
      <c r="D123" s="339"/>
      <c r="E123" s="204"/>
      <c r="F123" s="204"/>
      <c r="G123" s="204"/>
      <c r="H123" s="204"/>
      <c r="I123" s="204"/>
      <c r="L123" s="204"/>
      <c r="M123" s="204"/>
      <c r="N123" s="204"/>
      <c r="O123" s="204"/>
      <c r="P123" s="204"/>
      <c r="Q123" s="204"/>
      <c r="R123" s="204"/>
      <c r="S123" s="204"/>
      <c r="T123" s="204"/>
      <c r="U123" s="204"/>
      <c r="V123" s="204"/>
      <c r="W123" s="204"/>
      <c r="X123" s="204"/>
      <c r="Y123" s="204"/>
      <c r="Z123" s="204"/>
    </row>
    <row r="124" spans="2:26">
      <c r="B124" s="204"/>
      <c r="C124" s="204"/>
      <c r="D124" s="339"/>
      <c r="E124" s="204"/>
      <c r="F124" s="204"/>
      <c r="G124" s="204"/>
      <c r="H124" s="204"/>
      <c r="I124" s="204"/>
      <c r="L124" s="204"/>
      <c r="M124" s="204"/>
      <c r="N124" s="204"/>
      <c r="O124" s="204"/>
      <c r="P124" s="204"/>
      <c r="Q124" s="204"/>
      <c r="R124" s="204"/>
      <c r="S124" s="204"/>
      <c r="T124" s="204"/>
      <c r="U124" s="204"/>
      <c r="V124" s="204"/>
      <c r="W124" s="204"/>
      <c r="X124" s="204"/>
      <c r="Y124" s="204"/>
      <c r="Z124" s="204"/>
    </row>
    <row r="125" spans="2:26">
      <c r="B125" s="204"/>
      <c r="C125" s="204"/>
      <c r="D125" s="339"/>
      <c r="E125" s="204"/>
      <c r="F125" s="204"/>
      <c r="G125" s="204"/>
      <c r="H125" s="204"/>
      <c r="I125" s="204"/>
      <c r="L125" s="204"/>
      <c r="M125" s="204"/>
      <c r="N125" s="204"/>
      <c r="O125" s="204"/>
      <c r="P125" s="204"/>
      <c r="Q125" s="204"/>
      <c r="R125" s="204"/>
      <c r="S125" s="204"/>
      <c r="T125" s="204"/>
      <c r="U125" s="204"/>
      <c r="V125" s="204"/>
      <c r="W125" s="204"/>
      <c r="X125" s="204"/>
      <c r="Y125" s="204"/>
      <c r="Z125" s="204"/>
    </row>
    <row r="126" spans="2:26">
      <c r="B126" s="204"/>
      <c r="C126" s="204"/>
      <c r="D126" s="339"/>
      <c r="E126" s="204"/>
      <c r="F126" s="204"/>
      <c r="G126" s="204"/>
      <c r="H126" s="204"/>
      <c r="I126" s="204"/>
      <c r="L126" s="204"/>
      <c r="M126" s="204"/>
      <c r="N126" s="204"/>
      <c r="O126" s="204"/>
      <c r="P126" s="204"/>
      <c r="Q126" s="204"/>
      <c r="R126" s="204"/>
      <c r="S126" s="204"/>
      <c r="T126" s="204"/>
      <c r="U126" s="204"/>
      <c r="V126" s="204"/>
      <c r="W126" s="204"/>
      <c r="X126" s="204"/>
      <c r="Y126" s="204"/>
      <c r="Z126" s="204"/>
    </row>
    <row r="127" spans="2:26">
      <c r="B127" s="204"/>
      <c r="C127" s="204"/>
      <c r="D127" s="339"/>
      <c r="E127" s="204"/>
      <c r="F127" s="204"/>
      <c r="G127" s="204"/>
      <c r="H127" s="204"/>
      <c r="I127" s="204"/>
      <c r="L127" s="204"/>
      <c r="M127" s="204"/>
      <c r="N127" s="204"/>
      <c r="O127" s="204"/>
      <c r="P127" s="204"/>
      <c r="Q127" s="204"/>
      <c r="R127" s="204"/>
      <c r="S127" s="204"/>
      <c r="T127" s="204"/>
      <c r="U127" s="204"/>
      <c r="V127" s="204"/>
      <c r="W127" s="204"/>
      <c r="X127" s="204"/>
      <c r="Y127" s="204"/>
      <c r="Z127" s="204"/>
    </row>
    <row r="128" spans="2:26">
      <c r="B128" s="204"/>
      <c r="C128" s="204"/>
      <c r="D128" s="339"/>
      <c r="E128" s="204"/>
      <c r="F128" s="204"/>
      <c r="G128" s="204"/>
      <c r="H128" s="204"/>
      <c r="I128" s="204"/>
      <c r="L128" s="204"/>
      <c r="M128" s="204"/>
      <c r="N128" s="204"/>
      <c r="O128" s="204"/>
      <c r="P128" s="204"/>
      <c r="Q128" s="204"/>
      <c r="R128" s="204"/>
      <c r="S128" s="204"/>
      <c r="T128" s="204"/>
      <c r="U128" s="204"/>
      <c r="V128" s="204"/>
      <c r="W128" s="204"/>
      <c r="X128" s="204"/>
      <c r="Y128" s="204"/>
      <c r="Z128" s="204"/>
    </row>
    <row r="129" spans="2:26">
      <c r="B129" s="204"/>
      <c r="C129" s="204"/>
      <c r="D129" s="339"/>
      <c r="E129" s="204"/>
      <c r="F129" s="204"/>
      <c r="G129" s="204"/>
      <c r="H129" s="204"/>
      <c r="I129" s="204"/>
      <c r="L129" s="204"/>
      <c r="M129" s="204"/>
      <c r="N129" s="204"/>
      <c r="O129" s="204"/>
      <c r="P129" s="204"/>
      <c r="Q129" s="204"/>
      <c r="R129" s="204"/>
      <c r="S129" s="204"/>
      <c r="T129" s="204"/>
      <c r="U129" s="204"/>
      <c r="V129" s="204"/>
      <c r="W129" s="204"/>
      <c r="X129" s="204"/>
      <c r="Y129" s="204"/>
      <c r="Z129" s="204"/>
    </row>
    <row r="130" spans="2:26">
      <c r="B130" s="204"/>
      <c r="C130" s="204"/>
      <c r="D130" s="339"/>
      <c r="E130" s="204"/>
      <c r="F130" s="204"/>
      <c r="G130" s="204"/>
      <c r="H130" s="204"/>
      <c r="I130" s="204"/>
      <c r="L130" s="204"/>
      <c r="M130" s="204"/>
      <c r="N130" s="204"/>
      <c r="O130" s="204"/>
      <c r="P130" s="204"/>
      <c r="Q130" s="204"/>
      <c r="R130" s="204"/>
      <c r="S130" s="204"/>
      <c r="T130" s="204"/>
      <c r="U130" s="204"/>
      <c r="V130" s="204"/>
      <c r="W130" s="204"/>
      <c r="X130" s="204"/>
      <c r="Y130" s="204"/>
      <c r="Z130" s="204"/>
    </row>
    <row r="131" spans="2:26">
      <c r="B131" s="204"/>
      <c r="C131" s="204"/>
      <c r="D131" s="339"/>
      <c r="E131" s="204"/>
      <c r="F131" s="204"/>
      <c r="G131" s="204"/>
      <c r="H131" s="204"/>
      <c r="I131" s="204"/>
      <c r="L131" s="204"/>
      <c r="M131" s="204"/>
      <c r="N131" s="204"/>
      <c r="O131" s="204"/>
      <c r="P131" s="204"/>
      <c r="Q131" s="204"/>
      <c r="R131" s="204"/>
      <c r="S131" s="204"/>
      <c r="T131" s="204"/>
      <c r="U131" s="204"/>
      <c r="V131" s="204"/>
      <c r="W131" s="204"/>
      <c r="X131" s="204"/>
      <c r="Y131" s="204"/>
      <c r="Z131" s="204"/>
    </row>
    <row r="132" spans="2:26">
      <c r="B132" s="204"/>
      <c r="C132" s="204"/>
      <c r="D132" s="339"/>
      <c r="E132" s="204"/>
      <c r="F132" s="204"/>
      <c r="G132" s="204"/>
      <c r="H132" s="204"/>
      <c r="I132" s="204"/>
      <c r="L132" s="204"/>
      <c r="M132" s="204"/>
      <c r="N132" s="204"/>
      <c r="O132" s="204"/>
      <c r="P132" s="204"/>
      <c r="Q132" s="204"/>
      <c r="R132" s="204"/>
      <c r="S132" s="204"/>
      <c r="T132" s="204"/>
      <c r="U132" s="204"/>
      <c r="V132" s="204"/>
      <c r="W132" s="204"/>
      <c r="X132" s="204"/>
      <c r="Y132" s="204"/>
      <c r="Z132" s="204"/>
    </row>
    <row r="133" spans="2:26">
      <c r="B133" s="204"/>
      <c r="C133" s="204"/>
      <c r="D133" s="339"/>
      <c r="E133" s="204"/>
      <c r="F133" s="204"/>
      <c r="G133" s="204"/>
      <c r="H133" s="204"/>
      <c r="I133" s="204"/>
      <c r="L133" s="204"/>
      <c r="M133" s="204"/>
      <c r="N133" s="204"/>
      <c r="O133" s="204"/>
      <c r="P133" s="204"/>
      <c r="Q133" s="204"/>
      <c r="R133" s="204"/>
      <c r="S133" s="204"/>
      <c r="T133" s="204"/>
      <c r="U133" s="204"/>
      <c r="V133" s="204"/>
      <c r="W133" s="204"/>
      <c r="X133" s="204"/>
      <c r="Y133" s="204"/>
      <c r="Z133" s="204"/>
    </row>
  </sheetData>
  <mergeCells count="5">
    <mergeCell ref="B2:I2"/>
    <mergeCell ref="B3:I3"/>
    <mergeCell ref="B4:I4"/>
    <mergeCell ref="B5:I5"/>
    <mergeCell ref="B7:I7"/>
  </mergeCells>
  <phoneticPr fontId="11" type="noConversion"/>
  <pageMargins left="0" right="0" top="1" bottom="0" header="0.5" footer="0.5"/>
  <pageSetup scale="9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2"/>
  <dimension ref="A1:J74"/>
  <sheetViews>
    <sheetView topLeftCell="B1" workbookViewId="0">
      <selection activeCell="B1" sqref="B1:E65536"/>
    </sheetView>
  </sheetViews>
  <sheetFormatPr defaultRowHeight="12.75"/>
  <cols>
    <col min="1" max="1" width="31.7109375" customWidth="1"/>
    <col min="2" max="2" width="12.7109375" customWidth="1"/>
    <col min="3" max="4" width="10.7109375" customWidth="1"/>
    <col min="5" max="5" width="12.7109375" customWidth="1"/>
    <col min="6" max="6" width="10.7109375" customWidth="1"/>
    <col min="7" max="7" width="12.7109375" customWidth="1"/>
  </cols>
  <sheetData>
    <row r="1" spans="1:8">
      <c r="A1" s="16"/>
      <c r="B1" s="16"/>
      <c r="C1" s="6" t="s">
        <v>0</v>
      </c>
      <c r="E1" s="6"/>
      <c r="F1" s="16"/>
      <c r="G1" s="8"/>
      <c r="H1" s="8"/>
    </row>
    <row r="2" spans="1:8">
      <c r="A2" s="16"/>
      <c r="B2" s="16"/>
      <c r="C2" s="6" t="s">
        <v>1</v>
      </c>
      <c r="E2" s="6"/>
      <c r="F2" s="16"/>
      <c r="G2" s="8"/>
      <c r="H2" s="8"/>
    </row>
    <row r="3" spans="1:8">
      <c r="A3" s="16"/>
      <c r="B3" s="16"/>
      <c r="C3" s="6" t="s">
        <v>103</v>
      </c>
      <c r="E3" s="6"/>
      <c r="F3" s="16"/>
      <c r="G3" s="8"/>
      <c r="H3" s="8"/>
    </row>
    <row r="4" spans="1:8" ht="5.0999999999999996" customHeight="1">
      <c r="A4" s="35"/>
      <c r="B4" s="35"/>
      <c r="C4" s="36"/>
      <c r="D4" s="12"/>
      <c r="E4" s="36"/>
      <c r="F4" s="37"/>
      <c r="G4" s="11"/>
      <c r="H4" s="12"/>
    </row>
    <row r="5" spans="1:8">
      <c r="A5" s="35"/>
      <c r="B5" s="35"/>
      <c r="C5" s="6"/>
      <c r="D5" s="16"/>
      <c r="E5" s="6" t="s">
        <v>30</v>
      </c>
      <c r="F5" s="8"/>
      <c r="G5" s="38"/>
      <c r="H5" s="12"/>
    </row>
    <row r="6" spans="1:8">
      <c r="A6" s="37"/>
      <c r="B6" s="37"/>
      <c r="C6" s="6" t="s">
        <v>31</v>
      </c>
      <c r="D6" s="6">
        <v>1999</v>
      </c>
      <c r="E6" s="6" t="s">
        <v>32</v>
      </c>
      <c r="F6" s="6">
        <v>1999</v>
      </c>
      <c r="G6" s="6">
        <v>1999</v>
      </c>
      <c r="H6" s="12"/>
    </row>
    <row r="7" spans="1:8">
      <c r="A7" s="37"/>
      <c r="B7" s="37"/>
      <c r="C7" s="6" t="s">
        <v>33</v>
      </c>
      <c r="D7" s="6" t="s">
        <v>34</v>
      </c>
      <c r="E7" s="6" t="s">
        <v>35</v>
      </c>
      <c r="F7" s="6" t="s">
        <v>36</v>
      </c>
      <c r="G7" s="6" t="s">
        <v>37</v>
      </c>
      <c r="H7" s="12"/>
    </row>
    <row r="8" spans="1:8">
      <c r="A8" s="37"/>
      <c r="B8" s="37"/>
      <c r="C8" s="39">
        <v>36250</v>
      </c>
      <c r="D8" s="20" t="s">
        <v>38</v>
      </c>
      <c r="E8" s="20" t="s">
        <v>39</v>
      </c>
      <c r="F8" s="20" t="s">
        <v>38</v>
      </c>
      <c r="G8" s="20" t="s">
        <v>38</v>
      </c>
      <c r="H8" s="12"/>
    </row>
    <row r="9" spans="1:8">
      <c r="A9" s="40" t="s">
        <v>40</v>
      </c>
      <c r="B9" s="41"/>
      <c r="C9" s="42"/>
      <c r="D9" s="43"/>
      <c r="E9" s="43"/>
      <c r="F9" s="43"/>
      <c r="G9" s="44"/>
      <c r="H9" s="12"/>
    </row>
    <row r="10" spans="1:8">
      <c r="A10" s="45" t="s">
        <v>41</v>
      </c>
      <c r="B10" s="46">
        <f>+C10/$C$45</f>
        <v>0.31540208049151386</v>
      </c>
      <c r="C10" s="47">
        <f>8889.39+13806.28+356.99+2907.92+6448.7+4419.1</f>
        <v>36828.380000000005</v>
      </c>
      <c r="D10" s="47" t="e">
        <f>F10/12*3</f>
        <v>#REF!</v>
      </c>
      <c r="E10" s="47" t="e">
        <f>+D10-C10</f>
        <v>#REF!</v>
      </c>
      <c r="F10" s="47" t="e">
        <f>+'income statement'!#REF!*0.37</f>
        <v>#REF!</v>
      </c>
      <c r="G10" s="48" t="e">
        <f>+F10-C10</f>
        <v>#REF!</v>
      </c>
      <c r="H10" s="1"/>
    </row>
    <row r="11" spans="1:8">
      <c r="A11" s="45" t="s">
        <v>42</v>
      </c>
      <c r="B11" s="49"/>
      <c r="C11" s="14"/>
      <c r="D11" s="14"/>
      <c r="E11" s="14"/>
      <c r="F11" s="14"/>
      <c r="G11" s="14"/>
      <c r="H11" s="1"/>
    </row>
    <row r="12" spans="1:8">
      <c r="A12" s="50" t="s">
        <v>43</v>
      </c>
      <c r="B12" s="51">
        <f t="shared" ref="B12:B23" si="0">+C12/$C$45</f>
        <v>4.1408899265461929E-2</v>
      </c>
      <c r="C12" s="52">
        <f>3865.64+969.53</f>
        <v>4835.17</v>
      </c>
      <c r="D12" s="52">
        <f t="shared" ref="D12:D23" si="1">F12/12*3</f>
        <v>1375</v>
      </c>
      <c r="E12" s="52">
        <f t="shared" ref="E12:E23" si="2">D12-C12</f>
        <v>-3460.17</v>
      </c>
      <c r="F12" s="52">
        <v>5500</v>
      </c>
      <c r="G12" s="52">
        <f t="shared" ref="G12:G23" si="3">F12-C12</f>
        <v>664.82999999999993</v>
      </c>
      <c r="H12" s="1"/>
    </row>
    <row r="13" spans="1:8">
      <c r="A13" s="50" t="s">
        <v>44</v>
      </c>
      <c r="B13" s="51">
        <f t="shared" si="0"/>
        <v>1.1964053440489231E-2</v>
      </c>
      <c r="C13" s="52">
        <v>1397</v>
      </c>
      <c r="D13" s="52">
        <f t="shared" si="1"/>
        <v>1500</v>
      </c>
      <c r="E13" s="53">
        <f t="shared" si="2"/>
        <v>103</v>
      </c>
      <c r="F13" s="52">
        <v>6000</v>
      </c>
      <c r="G13" s="53">
        <f t="shared" si="3"/>
        <v>4603</v>
      </c>
      <c r="H13" s="1"/>
    </row>
    <row r="14" spans="1:8">
      <c r="A14" s="50" t="s">
        <v>45</v>
      </c>
      <c r="B14" s="51">
        <f t="shared" si="0"/>
        <v>3.6087421895156422E-3</v>
      </c>
      <c r="C14" s="52">
        <v>421.38</v>
      </c>
      <c r="D14" s="52">
        <f t="shared" si="1"/>
        <v>1250</v>
      </c>
      <c r="E14" s="52">
        <f t="shared" si="2"/>
        <v>828.62</v>
      </c>
      <c r="F14" s="52">
        <v>5000</v>
      </c>
      <c r="G14" s="52">
        <f t="shared" si="3"/>
        <v>4578.62</v>
      </c>
      <c r="H14" s="1"/>
    </row>
    <row r="15" spans="1:8">
      <c r="A15" s="50" t="s">
        <v>46</v>
      </c>
      <c r="B15" s="51">
        <f t="shared" si="0"/>
        <v>1.634887474437648E-2</v>
      </c>
      <c r="C15" s="52">
        <v>1909</v>
      </c>
      <c r="D15" s="52">
        <f t="shared" si="1"/>
        <v>2500</v>
      </c>
      <c r="E15" s="53">
        <f t="shared" si="2"/>
        <v>591</v>
      </c>
      <c r="F15" s="52">
        <v>10000</v>
      </c>
      <c r="G15" s="53">
        <f t="shared" si="3"/>
        <v>8091</v>
      </c>
      <c r="H15" s="1"/>
    </row>
    <row r="16" spans="1:8">
      <c r="A16" s="50" t="s">
        <v>47</v>
      </c>
      <c r="B16" s="51">
        <f t="shared" si="0"/>
        <v>2.0341288797982256E-2</v>
      </c>
      <c r="C16" s="52">
        <v>2375.1799999999998</v>
      </c>
      <c r="D16" s="52">
        <f t="shared" si="1"/>
        <v>625</v>
      </c>
      <c r="E16" s="53">
        <f t="shared" si="2"/>
        <v>-1750.1799999999998</v>
      </c>
      <c r="F16" s="52">
        <v>2500</v>
      </c>
      <c r="G16" s="53">
        <f t="shared" si="3"/>
        <v>124.82000000000016</v>
      </c>
      <c r="H16" s="1"/>
    </row>
    <row r="17" spans="1:8">
      <c r="A17" s="50" t="s">
        <v>48</v>
      </c>
      <c r="B17" s="51">
        <f t="shared" si="0"/>
        <v>8.8527144176332988E-4</v>
      </c>
      <c r="C17" s="52">
        <v>103.37</v>
      </c>
      <c r="D17" s="52">
        <f t="shared" si="1"/>
        <v>125</v>
      </c>
      <c r="E17" s="53">
        <f t="shared" si="2"/>
        <v>21.629999999999995</v>
      </c>
      <c r="F17" s="52">
        <v>500</v>
      </c>
      <c r="G17" s="53">
        <f t="shared" si="3"/>
        <v>396.63</v>
      </c>
      <c r="H17" s="1"/>
    </row>
    <row r="18" spans="1:8">
      <c r="A18" s="50" t="s">
        <v>49</v>
      </c>
      <c r="B18" s="51">
        <f t="shared" si="0"/>
        <v>0</v>
      </c>
      <c r="C18" s="52"/>
      <c r="D18" s="52">
        <f t="shared" si="1"/>
        <v>175</v>
      </c>
      <c r="E18" s="53">
        <f t="shared" si="2"/>
        <v>175</v>
      </c>
      <c r="F18" s="52">
        <v>700</v>
      </c>
      <c r="G18" s="53">
        <f t="shared" si="3"/>
        <v>700</v>
      </c>
      <c r="H18" s="1"/>
    </row>
    <row r="19" spans="1:8">
      <c r="A19" s="50" t="s">
        <v>50</v>
      </c>
      <c r="B19" s="51">
        <f t="shared" si="0"/>
        <v>6.7570781421231237E-4</v>
      </c>
      <c r="C19" s="52">
        <v>78.900000000000006</v>
      </c>
      <c r="D19" s="52">
        <f t="shared" si="1"/>
        <v>750</v>
      </c>
      <c r="E19" s="53">
        <f t="shared" si="2"/>
        <v>671.1</v>
      </c>
      <c r="F19" s="52">
        <v>3000</v>
      </c>
      <c r="G19" s="53">
        <f t="shared" si="3"/>
        <v>2921.1</v>
      </c>
      <c r="H19" s="1"/>
    </row>
    <row r="20" spans="1:8">
      <c r="A20" s="50" t="s">
        <v>51</v>
      </c>
      <c r="B20" s="51">
        <f t="shared" si="0"/>
        <v>3.0787954272411445E-4</v>
      </c>
      <c r="C20" s="52">
        <v>35.950000000000003</v>
      </c>
      <c r="D20" s="52">
        <f t="shared" si="1"/>
        <v>125</v>
      </c>
      <c r="E20" s="53">
        <f t="shared" si="2"/>
        <v>89.05</v>
      </c>
      <c r="F20" s="52">
        <v>500</v>
      </c>
      <c r="G20" s="53">
        <f t="shared" si="3"/>
        <v>464.05</v>
      </c>
      <c r="H20" s="1"/>
    </row>
    <row r="21" spans="1:8">
      <c r="A21" s="50" t="s">
        <v>52</v>
      </c>
      <c r="B21" s="51">
        <f t="shared" si="0"/>
        <v>0</v>
      </c>
      <c r="C21" s="52"/>
      <c r="D21" s="52">
        <f t="shared" si="1"/>
        <v>0</v>
      </c>
      <c r="E21" s="53">
        <f t="shared" si="2"/>
        <v>0</v>
      </c>
      <c r="F21" s="52">
        <v>0</v>
      </c>
      <c r="G21" s="53">
        <f t="shared" si="3"/>
        <v>0</v>
      </c>
      <c r="H21" s="1"/>
    </row>
    <row r="22" spans="1:8">
      <c r="A22" s="50" t="s">
        <v>53</v>
      </c>
      <c r="B22" s="51">
        <f t="shared" si="0"/>
        <v>0</v>
      </c>
      <c r="C22" s="52"/>
      <c r="D22" s="52">
        <f t="shared" si="1"/>
        <v>375</v>
      </c>
      <c r="E22" s="53">
        <f t="shared" si="2"/>
        <v>375</v>
      </c>
      <c r="F22" s="52">
        <v>1500</v>
      </c>
      <c r="G22" s="53">
        <f t="shared" si="3"/>
        <v>1500</v>
      </c>
      <c r="H22" s="1"/>
    </row>
    <row r="23" spans="1:8">
      <c r="A23" s="50" t="s">
        <v>54</v>
      </c>
      <c r="B23" s="51">
        <f t="shared" si="0"/>
        <v>2.1410260272886956E-2</v>
      </c>
      <c r="C23" s="54">
        <v>2500</v>
      </c>
      <c r="D23" s="54">
        <f t="shared" si="1"/>
        <v>1000</v>
      </c>
      <c r="E23" s="54">
        <f t="shared" si="2"/>
        <v>-1500</v>
      </c>
      <c r="F23" s="54">
        <v>4000</v>
      </c>
      <c r="G23" s="54">
        <f t="shared" si="3"/>
        <v>1500</v>
      </c>
      <c r="H23" s="1"/>
    </row>
    <row r="24" spans="1:8">
      <c r="A24" s="45" t="s">
        <v>55</v>
      </c>
      <c r="B24" s="46">
        <f t="shared" ref="B24:G24" si="4">SUM(B12:B23)</f>
        <v>0.11695097750941225</v>
      </c>
      <c r="C24" s="54">
        <f t="shared" si="4"/>
        <v>13655.95</v>
      </c>
      <c r="D24" s="54">
        <f t="shared" si="4"/>
        <v>9800</v>
      </c>
      <c r="E24" s="54">
        <f t="shared" si="4"/>
        <v>-3855.95</v>
      </c>
      <c r="F24" s="54">
        <f t="shared" si="4"/>
        <v>39200</v>
      </c>
      <c r="G24" s="55">
        <f t="shared" si="4"/>
        <v>25544.05</v>
      </c>
      <c r="H24" s="1"/>
    </row>
    <row r="25" spans="1:8">
      <c r="A25" s="45" t="s">
        <v>56</v>
      </c>
      <c r="B25" s="37"/>
      <c r="C25" s="53"/>
      <c r="D25" s="53"/>
      <c r="E25" s="53"/>
      <c r="F25" s="53"/>
      <c r="G25" s="53"/>
      <c r="H25" s="1"/>
    </row>
    <row r="26" spans="1:8">
      <c r="A26" s="50" t="s">
        <v>57</v>
      </c>
      <c r="B26" s="51">
        <f>+C26/$C$45</f>
        <v>1.3568110140133921E-2</v>
      </c>
      <c r="C26" s="52">
        <v>1584.3</v>
      </c>
      <c r="D26" s="53">
        <f>F26/12*3</f>
        <v>405</v>
      </c>
      <c r="E26" s="53">
        <f>D26-C26</f>
        <v>-1179.3</v>
      </c>
      <c r="F26" s="52">
        <f>16200*0.1</f>
        <v>1620</v>
      </c>
      <c r="G26" s="53">
        <f>F26-C26</f>
        <v>35.700000000000045</v>
      </c>
      <c r="H26" s="1"/>
    </row>
    <row r="27" spans="1:8">
      <c r="A27" s="50" t="s">
        <v>58</v>
      </c>
      <c r="B27" s="51">
        <f>+C27/$C$45</f>
        <v>1.1603247734370539E-2</v>
      </c>
      <c r="C27" s="52">
        <v>1354.87</v>
      </c>
      <c r="D27" s="53">
        <f>F27/12*3</f>
        <v>270</v>
      </c>
      <c r="E27" s="53">
        <f>D27-C27</f>
        <v>-1084.8699999999999</v>
      </c>
      <c r="F27" s="52">
        <f>10800*0.1</f>
        <v>1080</v>
      </c>
      <c r="G27" s="53">
        <f>F27-C27</f>
        <v>-274.86999999999989</v>
      </c>
      <c r="H27" s="1"/>
    </row>
    <row r="28" spans="1:8">
      <c r="A28" s="50" t="s">
        <v>59</v>
      </c>
      <c r="B28" s="51">
        <f>+C28/$C$45</f>
        <v>1.301358439906615E-2</v>
      </c>
      <c r="C28" s="52">
        <v>1519.55</v>
      </c>
      <c r="D28" s="52">
        <f>F28/12*3</f>
        <v>270</v>
      </c>
      <c r="E28" s="52">
        <f>D28-C28</f>
        <v>-1249.55</v>
      </c>
      <c r="F28" s="52">
        <f>10800*0.1</f>
        <v>1080</v>
      </c>
      <c r="G28" s="52">
        <f>F28-C28</f>
        <v>-439.54999999999995</v>
      </c>
      <c r="H28" s="1"/>
    </row>
    <row r="29" spans="1:8">
      <c r="A29" s="50" t="s">
        <v>102</v>
      </c>
      <c r="B29" s="51">
        <f>+C29/$C$45</f>
        <v>1.142288770183174E-2</v>
      </c>
      <c r="C29" s="52">
        <v>1333.81</v>
      </c>
      <c r="D29" s="52">
        <f>F29/12*3</f>
        <v>0</v>
      </c>
      <c r="E29" s="52"/>
      <c r="F29" s="52"/>
      <c r="G29" s="52"/>
      <c r="H29" s="1"/>
    </row>
    <row r="30" spans="1:8">
      <c r="A30" s="45" t="s">
        <v>60</v>
      </c>
      <c r="B30" s="46">
        <f t="shared" ref="B30:G30" si="5">SUM(B26:B29)</f>
        <v>4.9607829975402348E-2</v>
      </c>
      <c r="C30" s="66">
        <f t="shared" si="5"/>
        <v>5792.5300000000007</v>
      </c>
      <c r="D30" s="47">
        <f t="shared" si="5"/>
        <v>945</v>
      </c>
      <c r="E30" s="47">
        <f t="shared" si="5"/>
        <v>-3513.7200000000003</v>
      </c>
      <c r="F30" s="47">
        <f t="shared" si="5"/>
        <v>3780</v>
      </c>
      <c r="G30" s="48">
        <f t="shared" si="5"/>
        <v>-678.7199999999998</v>
      </c>
      <c r="H30" s="1"/>
    </row>
    <row r="31" spans="1:8">
      <c r="A31" s="45" t="s">
        <v>61</v>
      </c>
      <c r="B31" s="37"/>
      <c r="C31" s="53"/>
      <c r="D31" s="53"/>
      <c r="E31" s="53"/>
      <c r="F31" s="53"/>
      <c r="G31" s="53"/>
      <c r="H31" s="1"/>
    </row>
    <row r="32" spans="1:8">
      <c r="A32" s="50" t="s">
        <v>62</v>
      </c>
      <c r="B32" s="51">
        <f t="shared" ref="B32:B37" si="6">+C32/$C$45</f>
        <v>0.20005712942569134</v>
      </c>
      <c r="C32" s="52">
        <v>23359.96</v>
      </c>
      <c r="D32" s="53">
        <f t="shared" ref="D32:D37" si="7">F32/12*3</f>
        <v>1600</v>
      </c>
      <c r="E32" s="53">
        <f t="shared" ref="E32:E37" si="8">D32-C32</f>
        <v>-21759.96</v>
      </c>
      <c r="F32" s="52">
        <f>64000*0.1</f>
        <v>6400</v>
      </c>
      <c r="G32" s="53">
        <f t="shared" ref="G32:G37" si="9">F32-C32</f>
        <v>-16959.96</v>
      </c>
      <c r="H32" s="1"/>
    </row>
    <row r="33" spans="1:8">
      <c r="A33" s="50" t="s">
        <v>63</v>
      </c>
      <c r="B33" s="51">
        <f t="shared" si="6"/>
        <v>1.3865284552721593E-2</v>
      </c>
      <c r="C33" s="52">
        <v>1619</v>
      </c>
      <c r="D33" s="53">
        <f t="shared" si="7"/>
        <v>2500</v>
      </c>
      <c r="E33" s="53">
        <f t="shared" si="8"/>
        <v>881</v>
      </c>
      <c r="F33" s="52">
        <v>10000</v>
      </c>
      <c r="G33" s="53">
        <f t="shared" si="9"/>
        <v>8381</v>
      </c>
      <c r="H33" s="1"/>
    </row>
    <row r="34" spans="1:8">
      <c r="A34" s="50" t="s">
        <v>64</v>
      </c>
      <c r="B34" s="51">
        <f t="shared" si="6"/>
        <v>0</v>
      </c>
      <c r="C34" s="52">
        <v>0</v>
      </c>
      <c r="D34" s="53">
        <f t="shared" si="7"/>
        <v>375</v>
      </c>
      <c r="E34" s="52">
        <f t="shared" si="8"/>
        <v>375</v>
      </c>
      <c r="F34" s="52">
        <v>1500</v>
      </c>
      <c r="G34" s="52">
        <f t="shared" si="9"/>
        <v>1500</v>
      </c>
      <c r="H34" s="1"/>
    </row>
    <row r="35" spans="1:8">
      <c r="A35" s="50" t="s">
        <v>65</v>
      </c>
      <c r="B35" s="51">
        <f t="shared" si="6"/>
        <v>1.7133517962857239E-2</v>
      </c>
      <c r="C35" s="52">
        <v>2000.62</v>
      </c>
      <c r="D35" s="53">
        <f t="shared" si="7"/>
        <v>750</v>
      </c>
      <c r="E35" s="53">
        <f t="shared" si="8"/>
        <v>-1250.6199999999999</v>
      </c>
      <c r="F35" s="52">
        <v>3000</v>
      </c>
      <c r="G35" s="53">
        <f t="shared" si="9"/>
        <v>999.38000000000011</v>
      </c>
      <c r="H35" s="1"/>
    </row>
    <row r="36" spans="1:8">
      <c r="A36" s="50" t="s">
        <v>66</v>
      </c>
      <c r="B36" s="51">
        <f t="shared" si="6"/>
        <v>0</v>
      </c>
      <c r="C36" s="52">
        <v>0</v>
      </c>
      <c r="D36" s="53">
        <f t="shared" si="7"/>
        <v>250</v>
      </c>
      <c r="E36" s="53">
        <f t="shared" si="8"/>
        <v>250</v>
      </c>
      <c r="F36" s="52">
        <v>1000</v>
      </c>
      <c r="G36" s="53">
        <f t="shared" si="9"/>
        <v>1000</v>
      </c>
      <c r="H36" s="1"/>
    </row>
    <row r="37" spans="1:8">
      <c r="A37" s="50" t="s">
        <v>67</v>
      </c>
      <c r="B37" s="51">
        <f t="shared" si="6"/>
        <v>1.1630053380232194E-2</v>
      </c>
      <c r="C37" s="54">
        <v>1358</v>
      </c>
      <c r="D37" s="54">
        <f t="shared" si="7"/>
        <v>300</v>
      </c>
      <c r="E37" s="54">
        <f t="shared" si="8"/>
        <v>-1058</v>
      </c>
      <c r="F37" s="54">
        <v>1200</v>
      </c>
      <c r="G37" s="54">
        <f t="shared" si="9"/>
        <v>-158</v>
      </c>
      <c r="H37" s="1"/>
    </row>
    <row r="38" spans="1:8">
      <c r="A38" s="45" t="s">
        <v>68</v>
      </c>
      <c r="B38" s="46">
        <f t="shared" ref="B38:G38" si="10">SUM(B32:B37)</f>
        <v>0.24268598532150237</v>
      </c>
      <c r="C38" s="54">
        <f t="shared" si="10"/>
        <v>28337.579999999998</v>
      </c>
      <c r="D38" s="54">
        <f t="shared" si="10"/>
        <v>5775</v>
      </c>
      <c r="E38" s="54">
        <f t="shared" si="10"/>
        <v>-22562.579999999998</v>
      </c>
      <c r="F38" s="54">
        <f t="shared" si="10"/>
        <v>23100</v>
      </c>
      <c r="G38" s="55">
        <f t="shared" si="10"/>
        <v>-5237.579999999999</v>
      </c>
      <c r="H38" s="1"/>
    </row>
    <row r="39" spans="1:8">
      <c r="A39" s="45" t="s">
        <v>69</v>
      </c>
      <c r="B39" s="37"/>
      <c r="C39" s="53"/>
      <c r="D39" s="53"/>
      <c r="E39" s="53"/>
      <c r="F39" s="53"/>
      <c r="G39" s="53"/>
      <c r="H39" s="1"/>
    </row>
    <row r="40" spans="1:8">
      <c r="A40" s="50" t="s">
        <v>70</v>
      </c>
      <c r="B40" s="51">
        <f>+C40/$C$45</f>
        <v>0.11293304242556119</v>
      </c>
      <c r="C40" s="54">
        <f>10323.4+2863.39</f>
        <v>13186.789999999999</v>
      </c>
      <c r="D40" s="54">
        <f>F40/12*3</f>
        <v>12500</v>
      </c>
      <c r="E40" s="54">
        <f>D40-C40</f>
        <v>-686.78999999999905</v>
      </c>
      <c r="F40" s="54">
        <v>50000</v>
      </c>
      <c r="G40" s="54">
        <f>F40-C40</f>
        <v>36813.21</v>
      </c>
      <c r="H40" s="1"/>
    </row>
    <row r="41" spans="1:8">
      <c r="A41" s="45" t="s">
        <v>71</v>
      </c>
      <c r="B41" s="46">
        <f>SUM(B40)</f>
        <v>0.11293304242556119</v>
      </c>
      <c r="C41" s="54">
        <f>SUM(C40:C40)</f>
        <v>13186.789999999999</v>
      </c>
      <c r="D41" s="54">
        <f>SUM(D40:D40)</f>
        <v>12500</v>
      </c>
      <c r="E41" s="54">
        <f>SUM(E40:E40)</f>
        <v>-686.78999999999905</v>
      </c>
      <c r="F41" s="54">
        <f>SUM(F40:F40)</f>
        <v>50000</v>
      </c>
      <c r="G41" s="55">
        <f>SUM(G40:G40)</f>
        <v>36813.21</v>
      </c>
      <c r="H41" s="1"/>
    </row>
    <row r="42" spans="1:8">
      <c r="A42" s="45" t="s">
        <v>72</v>
      </c>
      <c r="B42" s="37"/>
      <c r="C42" s="53"/>
      <c r="D42" s="53"/>
      <c r="E42" s="53"/>
      <c r="F42" s="53"/>
      <c r="G42" s="53"/>
      <c r="H42" s="1"/>
    </row>
    <row r="43" spans="1:8">
      <c r="A43" s="50" t="s">
        <v>73</v>
      </c>
      <c r="B43" s="51">
        <f>+C43/$C$45</f>
        <v>0.16242008427660803</v>
      </c>
      <c r="C43" s="54">
        <f>+'income statement'!F37*0.2</f>
        <v>18965.216</v>
      </c>
      <c r="D43" s="54" t="e">
        <f>F43/12*3</f>
        <v>#REF!</v>
      </c>
      <c r="E43" s="54" t="e">
        <f>D43-C43</f>
        <v>#REF!</v>
      </c>
      <c r="F43" s="54" t="e">
        <f>+'income statement'!#REF!*0.2</f>
        <v>#REF!</v>
      </c>
      <c r="G43" s="54" t="e">
        <f>F43-C43</f>
        <v>#REF!</v>
      </c>
      <c r="H43" s="1"/>
    </row>
    <row r="44" spans="1:8">
      <c r="A44" s="45" t="s">
        <v>74</v>
      </c>
      <c r="B44" s="46">
        <f>SUM(B43)</f>
        <v>0.16242008427660803</v>
      </c>
      <c r="C44" s="53">
        <f>+C43</f>
        <v>18965.216</v>
      </c>
      <c r="D44" s="53" t="e">
        <f>+D43</f>
        <v>#REF!</v>
      </c>
      <c r="E44" s="53" t="e">
        <f>+E43</f>
        <v>#REF!</v>
      </c>
      <c r="F44" s="53" t="e">
        <f>+F43</f>
        <v>#REF!</v>
      </c>
      <c r="G44" s="56" t="e">
        <f>+G43</f>
        <v>#REF!</v>
      </c>
      <c r="H44" s="1"/>
    </row>
    <row r="45" spans="1:8">
      <c r="A45" s="57" t="s">
        <v>75</v>
      </c>
      <c r="B45" s="58">
        <f>+C45/C72</f>
        <v>0.30716402113590591</v>
      </c>
      <c r="C45" s="59">
        <f>+C44+C41+C38+C30+C24+C10</f>
        <v>116766.446</v>
      </c>
      <c r="D45" s="59" t="e">
        <f>+D44+D41+D38+D30+D24+D10</f>
        <v>#REF!</v>
      </c>
      <c r="E45" s="59" t="e">
        <f>+E44+E41+E38+E30+E24+E10</f>
        <v>#REF!</v>
      </c>
      <c r="F45" s="59" t="e">
        <f>+F44+F41+F38+F30+F24+F10</f>
        <v>#REF!</v>
      </c>
      <c r="G45" s="60" t="e">
        <f>+G44+G41+G38+G30+G24+G10</f>
        <v>#REF!</v>
      </c>
      <c r="H45" s="1"/>
    </row>
    <row r="46" spans="1:8">
      <c r="A46" s="12"/>
      <c r="B46" s="12"/>
      <c r="C46" s="61"/>
      <c r="D46" s="61"/>
      <c r="E46" s="61"/>
      <c r="F46" s="61"/>
      <c r="G46" s="61"/>
      <c r="H46" s="1"/>
    </row>
    <row r="47" spans="1:8">
      <c r="A47" s="62" t="s">
        <v>76</v>
      </c>
      <c r="B47" s="63"/>
      <c r="C47" s="64"/>
      <c r="D47" s="64"/>
      <c r="E47" s="64"/>
      <c r="F47" s="64"/>
      <c r="G47" s="65"/>
      <c r="H47" s="1"/>
    </row>
    <row r="48" spans="1:8">
      <c r="A48" s="45" t="s">
        <v>41</v>
      </c>
      <c r="B48" s="46">
        <f>+C48/$C$70</f>
        <v>0.18623135556039658</v>
      </c>
      <c r="C48" s="54">
        <f>26326.64+10461.05+356.99+8525.99+3378.42</f>
        <v>49049.09</v>
      </c>
      <c r="D48" s="54" t="e">
        <f>F48/12*3</f>
        <v>#REF!</v>
      </c>
      <c r="E48" s="54" t="e">
        <f>+D48-C48</f>
        <v>#REF!</v>
      </c>
      <c r="F48" s="54" t="e">
        <f>+'income statement'!#REF!*0.63</f>
        <v>#REF!</v>
      </c>
      <c r="G48" s="55" t="e">
        <f>+F48-C48</f>
        <v>#REF!</v>
      </c>
      <c r="H48" s="1"/>
    </row>
    <row r="49" spans="1:8">
      <c r="A49" s="45" t="s">
        <v>56</v>
      </c>
      <c r="B49" s="49"/>
      <c r="C49" s="53"/>
      <c r="D49" s="53"/>
      <c r="E49" s="53"/>
      <c r="F49" s="53"/>
      <c r="G49" s="53"/>
      <c r="H49" s="1"/>
    </row>
    <row r="50" spans="1:8">
      <c r="A50" s="50" t="s">
        <v>77</v>
      </c>
      <c r="B50" s="51">
        <f>+C50/$C$70</f>
        <v>1.6430162758517455E-2</v>
      </c>
      <c r="C50" s="53">
        <v>4327.33</v>
      </c>
      <c r="D50" s="53">
        <f>F50/12*3</f>
        <v>3645</v>
      </c>
      <c r="E50" s="53">
        <f>+D50-C50</f>
        <v>-682.32999999999993</v>
      </c>
      <c r="F50" s="53">
        <f>16200*0.9</f>
        <v>14580</v>
      </c>
      <c r="G50" s="53">
        <f>+F50-C50</f>
        <v>10252.67</v>
      </c>
      <c r="H50" s="1"/>
    </row>
    <row r="51" spans="1:8">
      <c r="A51" s="50" t="s">
        <v>78</v>
      </c>
      <c r="B51" s="51">
        <f>+C51/$C$70</f>
        <v>4.3663615144431034E-4</v>
      </c>
      <c r="C51" s="53">
        <v>115</v>
      </c>
      <c r="D51" s="53">
        <f>F51/12*3</f>
        <v>2430</v>
      </c>
      <c r="E51" s="53">
        <f>+D51-C51</f>
        <v>2315</v>
      </c>
      <c r="F51" s="53">
        <f>10800*0.9</f>
        <v>9720</v>
      </c>
      <c r="G51" s="53">
        <f>+F51-C51</f>
        <v>9605</v>
      </c>
      <c r="H51" s="1"/>
    </row>
    <row r="52" spans="1:8">
      <c r="A52" s="50" t="s">
        <v>79</v>
      </c>
      <c r="B52" s="51">
        <f>+C52/$C$70</f>
        <v>1.974855954113322E-2</v>
      </c>
      <c r="C52" s="53">
        <v>5201.32</v>
      </c>
      <c r="D52" s="53">
        <f>F52/12*3</f>
        <v>2430</v>
      </c>
      <c r="E52" s="53">
        <f>+D52-C52</f>
        <v>-2771.3199999999997</v>
      </c>
      <c r="F52" s="53">
        <f>10800*0.9</f>
        <v>9720</v>
      </c>
      <c r="G52" s="53">
        <f>+F52-C52</f>
        <v>4518.68</v>
      </c>
      <c r="H52" s="1"/>
    </row>
    <row r="53" spans="1:8">
      <c r="A53" s="50" t="s">
        <v>80</v>
      </c>
      <c r="B53" s="51">
        <f>+C53/$C$70</f>
        <v>0</v>
      </c>
      <c r="C53" s="54">
        <v>0</v>
      </c>
      <c r="D53" s="54">
        <f>F53/12*3</f>
        <v>1957.5</v>
      </c>
      <c r="E53" s="54">
        <f>+D53-C53</f>
        <v>1957.5</v>
      </c>
      <c r="F53" s="54">
        <v>7830</v>
      </c>
      <c r="G53" s="54">
        <f>+F53-C53</f>
        <v>7830</v>
      </c>
      <c r="H53" s="1"/>
    </row>
    <row r="54" spans="1:8">
      <c r="A54" s="45" t="s">
        <v>60</v>
      </c>
      <c r="B54" s="46">
        <f t="shared" ref="B54:G54" si="11">SUM(B50:B53)</f>
        <v>3.6615358451094981E-2</v>
      </c>
      <c r="C54" s="66">
        <f t="shared" si="11"/>
        <v>9643.65</v>
      </c>
      <c r="D54" s="47">
        <f t="shared" si="11"/>
        <v>10462.5</v>
      </c>
      <c r="E54" s="47">
        <f t="shared" si="11"/>
        <v>818.85000000000036</v>
      </c>
      <c r="F54" s="47">
        <f t="shared" si="11"/>
        <v>41850</v>
      </c>
      <c r="G54" s="48">
        <f t="shared" si="11"/>
        <v>32206.35</v>
      </c>
      <c r="H54" s="1"/>
    </row>
    <row r="55" spans="1:8">
      <c r="A55" s="45" t="s">
        <v>61</v>
      </c>
      <c r="B55" s="49"/>
      <c r="C55" s="53"/>
      <c r="D55" s="53"/>
      <c r="E55" s="53"/>
      <c r="F55" s="53"/>
      <c r="G55" s="53"/>
      <c r="H55" s="1"/>
    </row>
    <row r="56" spans="1:8">
      <c r="A56" s="50" t="s">
        <v>81</v>
      </c>
      <c r="B56" s="51">
        <f t="shared" ref="B56:B61" si="12">+C56/$C$70</f>
        <v>3.6715405082317228E-3</v>
      </c>
      <c r="C56" s="53">
        <v>967</v>
      </c>
      <c r="D56" s="53">
        <f t="shared" ref="D56:D63" si="13">F56/12*3</f>
        <v>14400</v>
      </c>
      <c r="E56" s="53">
        <f>+D56-C56</f>
        <v>13433</v>
      </c>
      <c r="F56" s="53">
        <f>64000*0.9</f>
        <v>57600</v>
      </c>
      <c r="G56" s="53">
        <f>+F56-C56</f>
        <v>56633</v>
      </c>
      <c r="H56" s="1"/>
    </row>
    <row r="57" spans="1:8">
      <c r="A57" s="50" t="s">
        <v>82</v>
      </c>
      <c r="B57" s="51">
        <f t="shared" si="12"/>
        <v>1.2453014912635712E-2</v>
      </c>
      <c r="C57" s="53">
        <f>1684.68+1595.16</f>
        <v>3279.84</v>
      </c>
      <c r="D57" s="53">
        <f t="shared" si="13"/>
        <v>2000</v>
      </c>
      <c r="E57" s="53">
        <f t="shared" ref="E57:E62" si="14">D57-C57</f>
        <v>-1279.8400000000001</v>
      </c>
      <c r="F57" s="53">
        <v>8000</v>
      </c>
      <c r="G57" s="53">
        <f t="shared" ref="G57:G62" si="15">F57-C57</f>
        <v>4720.16</v>
      </c>
      <c r="H57" s="1"/>
    </row>
    <row r="58" spans="1:8">
      <c r="A58" s="50" t="s">
        <v>83</v>
      </c>
      <c r="B58" s="51">
        <f t="shared" si="12"/>
        <v>7.5621204910445092E-3</v>
      </c>
      <c r="C58" s="53">
        <v>1991.69</v>
      </c>
      <c r="D58" s="53">
        <f t="shared" si="13"/>
        <v>1750</v>
      </c>
      <c r="E58" s="53">
        <f t="shared" si="14"/>
        <v>-241.69000000000005</v>
      </c>
      <c r="F58" s="53">
        <v>7000</v>
      </c>
      <c r="G58" s="53">
        <f t="shared" si="15"/>
        <v>5008.3099999999995</v>
      </c>
      <c r="H58" s="1"/>
    </row>
    <row r="59" spans="1:8">
      <c r="A59" s="50" t="s">
        <v>84</v>
      </c>
      <c r="B59" s="51">
        <f t="shared" si="12"/>
        <v>7.2737128209252929E-3</v>
      </c>
      <c r="C59" s="53">
        <f>1321.73+594</f>
        <v>1915.73</v>
      </c>
      <c r="D59" s="53">
        <f t="shared" si="13"/>
        <v>2750</v>
      </c>
      <c r="E59" s="53">
        <f t="shared" si="14"/>
        <v>834.27</v>
      </c>
      <c r="F59" s="53">
        <v>11000</v>
      </c>
      <c r="G59" s="53">
        <f t="shared" si="15"/>
        <v>9084.27</v>
      </c>
      <c r="H59" s="1"/>
    </row>
    <row r="60" spans="1:8">
      <c r="A60" s="50" t="s">
        <v>85</v>
      </c>
      <c r="B60" s="51">
        <f t="shared" si="12"/>
        <v>1.3689188809916047E-2</v>
      </c>
      <c r="C60" s="53">
        <f>3394.42+211</f>
        <v>3605.42</v>
      </c>
      <c r="D60" s="53">
        <f t="shared" si="13"/>
        <v>1800</v>
      </c>
      <c r="E60" s="53">
        <f t="shared" si="14"/>
        <v>-1805.42</v>
      </c>
      <c r="F60" s="53">
        <v>7200</v>
      </c>
      <c r="G60" s="53">
        <f t="shared" si="15"/>
        <v>3594.58</v>
      </c>
      <c r="H60" s="1"/>
    </row>
    <row r="61" spans="1:8">
      <c r="A61" s="50" t="s">
        <v>86</v>
      </c>
      <c r="B61" s="51">
        <f t="shared" si="12"/>
        <v>1.4839857958235288E-2</v>
      </c>
      <c r="C61" s="53">
        <f>-293.52+4202</f>
        <v>3908.48</v>
      </c>
      <c r="D61" s="53">
        <f t="shared" si="13"/>
        <v>1500</v>
      </c>
      <c r="E61" s="53">
        <f t="shared" si="14"/>
        <v>-2408.48</v>
      </c>
      <c r="F61" s="53">
        <v>6000</v>
      </c>
      <c r="G61" s="53">
        <f t="shared" si="15"/>
        <v>2091.52</v>
      </c>
      <c r="H61" s="1"/>
    </row>
    <row r="62" spans="1:8">
      <c r="A62" s="50" t="s">
        <v>87</v>
      </c>
      <c r="B62" s="51">
        <f>+C62/$C$70</f>
        <v>0</v>
      </c>
      <c r="C62" s="53">
        <v>0</v>
      </c>
      <c r="D62" s="52">
        <f t="shared" si="13"/>
        <v>750</v>
      </c>
      <c r="E62" s="52">
        <f t="shared" si="14"/>
        <v>750</v>
      </c>
      <c r="F62" s="53">
        <v>3000</v>
      </c>
      <c r="G62" s="52">
        <f t="shared" si="15"/>
        <v>3000</v>
      </c>
    </row>
    <row r="63" spans="1:8">
      <c r="A63" s="50" t="s">
        <v>104</v>
      </c>
      <c r="B63" s="51">
        <f>+C63/$C$70</f>
        <v>5.9010426658673667E-4</v>
      </c>
      <c r="C63" s="53">
        <v>155.41999999999999</v>
      </c>
      <c r="D63" s="52">
        <f t="shared" si="13"/>
        <v>0</v>
      </c>
    </row>
    <row r="64" spans="1:8">
      <c r="A64" s="45" t="s">
        <v>68</v>
      </c>
      <c r="B64" s="46">
        <f t="shared" ref="B64:G64" si="16">SUM(B56:B63)</f>
        <v>6.007953976757531E-2</v>
      </c>
      <c r="C64" s="66">
        <f t="shared" si="16"/>
        <v>15823.58</v>
      </c>
      <c r="D64" s="47">
        <f t="shared" si="16"/>
        <v>24950</v>
      </c>
      <c r="E64" s="47">
        <f t="shared" si="16"/>
        <v>9281.84</v>
      </c>
      <c r="F64" s="47">
        <f t="shared" si="16"/>
        <v>99800</v>
      </c>
      <c r="G64" s="48">
        <f t="shared" si="16"/>
        <v>84131.840000000011</v>
      </c>
    </row>
    <row r="65" spans="1:10">
      <c r="A65" s="67" t="s">
        <v>72</v>
      </c>
      <c r="B65" s="49"/>
      <c r="C65" s="53"/>
      <c r="D65" s="53"/>
      <c r="E65" s="53"/>
      <c r="F65" s="53"/>
      <c r="G65" s="53"/>
    </row>
    <row r="66" spans="1:10">
      <c r="A66" s="50" t="s">
        <v>88</v>
      </c>
      <c r="B66" s="51">
        <f>+C66/$C$70</f>
        <v>7.5936721990314843E-2</v>
      </c>
      <c r="C66" s="53">
        <f>+'income statement'!F36</f>
        <v>20000</v>
      </c>
      <c r="D66" s="52" t="e">
        <f>F66/12*3</f>
        <v>#REF!</v>
      </c>
      <c r="E66" s="53" t="e">
        <f>D66-C66</f>
        <v>#REF!</v>
      </c>
      <c r="F66" s="53" t="e">
        <f>+'income statement'!#REF!</f>
        <v>#REF!</v>
      </c>
      <c r="G66" s="53" t="e">
        <f>F66-C66</f>
        <v>#REF!</v>
      </c>
    </row>
    <row r="67" spans="1:10">
      <c r="A67" s="50" t="s">
        <v>89</v>
      </c>
      <c r="B67" s="51">
        <f>+C67/$C$70</f>
        <v>0.35310575725496401</v>
      </c>
      <c r="C67" s="53">
        <f>+'income statement'!F35</f>
        <v>93000</v>
      </c>
      <c r="D67" s="52" t="e">
        <f>F67/12*3</f>
        <v>#REF!</v>
      </c>
      <c r="E67" s="53" t="e">
        <f>D67-C67</f>
        <v>#REF!</v>
      </c>
      <c r="F67" s="53" t="e">
        <f>+'income statement'!#REF!</f>
        <v>#REF!</v>
      </c>
      <c r="G67" s="53" t="e">
        <f>F67-C67</f>
        <v>#REF!</v>
      </c>
    </row>
    <row r="68" spans="1:10">
      <c r="A68" s="50" t="s">
        <v>90</v>
      </c>
      <c r="B68" s="51">
        <f>+C68/$C$70</f>
        <v>0.28803126697565418</v>
      </c>
      <c r="C68" s="52">
        <f>+'income statement'!F37*0.8</f>
        <v>75860.864000000001</v>
      </c>
      <c r="D68" s="52" t="e">
        <f>F68/12*3</f>
        <v>#REF!</v>
      </c>
      <c r="E68" s="52" t="e">
        <f>+D68-C68</f>
        <v>#REF!</v>
      </c>
      <c r="F68" s="52" t="e">
        <f>+'income statement'!#REF!*0.8</f>
        <v>#REF!</v>
      </c>
      <c r="G68" s="52" t="e">
        <f>+F68-C68</f>
        <v>#REF!</v>
      </c>
    </row>
    <row r="69" spans="1:10">
      <c r="A69" s="67" t="s">
        <v>74</v>
      </c>
      <c r="B69" s="46">
        <f t="shared" ref="B69:G69" si="17">SUM(B66:B68)</f>
        <v>0.71707374622093301</v>
      </c>
      <c r="C69" s="66">
        <f t="shared" si="17"/>
        <v>188860.864</v>
      </c>
      <c r="D69" s="47" t="e">
        <f t="shared" si="17"/>
        <v>#REF!</v>
      </c>
      <c r="E69" s="47" t="e">
        <f t="shared" si="17"/>
        <v>#REF!</v>
      </c>
      <c r="F69" s="47" t="e">
        <f t="shared" si="17"/>
        <v>#REF!</v>
      </c>
      <c r="G69" s="48" t="e">
        <f t="shared" si="17"/>
        <v>#REF!</v>
      </c>
    </row>
    <row r="70" spans="1:10">
      <c r="A70" s="68" t="s">
        <v>91</v>
      </c>
      <c r="B70" s="69">
        <f>+C70/C72</f>
        <v>0.69283597886409409</v>
      </c>
      <c r="C70" s="70">
        <f>+C69+C64+C54+C48</f>
        <v>263377.18400000001</v>
      </c>
      <c r="D70" s="70" t="e">
        <f>+D69+D64+D54+D48</f>
        <v>#REF!</v>
      </c>
      <c r="E70" s="70" t="e">
        <f>+E69+E64+E54+E48</f>
        <v>#REF!</v>
      </c>
      <c r="F70" s="70" t="e">
        <f>+F69+F64+F54+F48</f>
        <v>#REF!</v>
      </c>
      <c r="G70" s="71" t="e">
        <f>+G69+G64+G54+G48</f>
        <v>#REF!</v>
      </c>
    </row>
    <row r="71" spans="1:10">
      <c r="B71" s="16"/>
      <c r="C71" s="72"/>
      <c r="D71" s="72"/>
      <c r="E71" s="72"/>
      <c r="F71" s="72"/>
      <c r="G71" s="72"/>
    </row>
    <row r="72" spans="1:10">
      <c r="A72" s="73" t="s">
        <v>92</v>
      </c>
      <c r="B72" s="69">
        <f t="shared" ref="B72:G72" si="18">+B70+B45</f>
        <v>1</v>
      </c>
      <c r="C72" s="70">
        <f t="shared" si="18"/>
        <v>380143.63</v>
      </c>
      <c r="D72" s="70" t="e">
        <f t="shared" si="18"/>
        <v>#REF!</v>
      </c>
      <c r="E72" s="70" t="e">
        <f t="shared" si="18"/>
        <v>#REF!</v>
      </c>
      <c r="F72" s="70" t="e">
        <f t="shared" si="18"/>
        <v>#REF!</v>
      </c>
      <c r="G72" s="71" t="e">
        <f t="shared" si="18"/>
        <v>#REF!</v>
      </c>
    </row>
    <row r="73" spans="1:10">
      <c r="H73" s="1"/>
    </row>
    <row r="74" spans="1:10">
      <c r="H74" s="74" t="s">
        <v>93</v>
      </c>
      <c r="J74" s="74"/>
    </row>
  </sheetData>
  <phoneticPr fontId="11" type="noConversion"/>
  <printOptions horizontalCentered="1" verticalCentered="1"/>
  <pageMargins left="1" right="0" top="0.25" bottom="0" header="0" footer="0"/>
  <pageSetup scale="80" orientation="portrait" horizontalDpi="4294967292" r:id="rId1"/>
  <headerFooter alignWithMargins="0">
    <oddFooter>&amp;L&amp;D &amp;T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K71"/>
  <sheetViews>
    <sheetView view="pageBreakPreview" topLeftCell="B1" zoomScale="130" zoomScaleNormal="130" zoomScaleSheetLayoutView="130" workbookViewId="0">
      <selection activeCell="D20" activeCellId="1" sqref="D58 D20"/>
    </sheetView>
  </sheetViews>
  <sheetFormatPr defaultRowHeight="12.75"/>
  <cols>
    <col min="1" max="1" width="9.5703125" hidden="1" customWidth="1"/>
    <col min="2" max="2" width="41.28515625" customWidth="1"/>
    <col min="3" max="3" width="15.5703125" bestFit="1" customWidth="1"/>
    <col min="4" max="4" width="12.28515625" customWidth="1"/>
    <col min="5" max="5" width="12.7109375" customWidth="1"/>
    <col min="6" max="6" width="3.42578125" style="124" customWidth="1"/>
    <col min="7" max="7" width="14.42578125" style="261" bestFit="1" customWidth="1"/>
    <col min="8" max="8" width="9.85546875" style="122" bestFit="1" customWidth="1"/>
    <col min="9" max="9" width="12.5703125" bestFit="1" customWidth="1"/>
  </cols>
  <sheetData>
    <row r="1" spans="1:8">
      <c r="B1" s="403" t="s">
        <v>1</v>
      </c>
      <c r="C1" s="394"/>
      <c r="D1" s="394"/>
      <c r="E1" s="394"/>
      <c r="F1" s="394"/>
      <c r="G1" s="394"/>
      <c r="H1" s="394"/>
    </row>
    <row r="2" spans="1:8">
      <c r="B2" s="402" t="s">
        <v>198</v>
      </c>
      <c r="C2" s="394"/>
      <c r="D2" s="394"/>
      <c r="E2" s="394"/>
      <c r="F2" s="394"/>
      <c r="G2" s="394"/>
      <c r="H2" s="394"/>
    </row>
    <row r="3" spans="1:8">
      <c r="B3" s="404" t="s">
        <v>146</v>
      </c>
      <c r="C3" s="394"/>
      <c r="D3" s="394"/>
      <c r="E3" s="394"/>
      <c r="F3" s="394"/>
      <c r="G3" s="394"/>
      <c r="H3" s="394"/>
    </row>
    <row r="4" spans="1:8">
      <c r="B4" s="402" t="s">
        <v>298</v>
      </c>
      <c r="C4" s="404"/>
      <c r="D4" s="404"/>
      <c r="E4" s="404"/>
      <c r="F4" s="404"/>
      <c r="G4" s="404"/>
      <c r="H4" s="404"/>
    </row>
    <row r="5" spans="1:8">
      <c r="B5" s="405" t="s">
        <v>221</v>
      </c>
      <c r="C5" s="399"/>
      <c r="D5" s="399"/>
      <c r="E5" s="399"/>
      <c r="F5" s="399"/>
      <c r="G5" s="399"/>
      <c r="H5" s="399"/>
    </row>
    <row r="6" spans="1:8">
      <c r="B6" s="28"/>
      <c r="C6" s="31">
        <v>2018</v>
      </c>
      <c r="D6" s="31" t="s">
        <v>145</v>
      </c>
      <c r="E6" s="31"/>
      <c r="G6" s="261" t="s">
        <v>145</v>
      </c>
    </row>
    <row r="7" spans="1:8">
      <c r="B7" s="28"/>
      <c r="C7" s="31" t="s">
        <v>36</v>
      </c>
      <c r="D7" s="324" t="s">
        <v>177</v>
      </c>
      <c r="E7" s="31" t="s">
        <v>37</v>
      </c>
      <c r="G7" s="261" t="s">
        <v>155</v>
      </c>
    </row>
    <row r="8" spans="1:8">
      <c r="B8" s="28"/>
      <c r="C8" s="34" t="s">
        <v>38</v>
      </c>
      <c r="D8" s="98">
        <f>'income statement'!F11</f>
        <v>43373</v>
      </c>
      <c r="E8" s="81" t="s">
        <v>38</v>
      </c>
      <c r="G8" s="261" t="s">
        <v>38</v>
      </c>
    </row>
    <row r="9" spans="1:8">
      <c r="B9" s="99" t="s">
        <v>40</v>
      </c>
      <c r="C9" s="168"/>
      <c r="D9" s="168"/>
      <c r="E9" s="168"/>
      <c r="F9" s="190"/>
      <c r="G9" s="258"/>
    </row>
    <row r="10" spans="1:8">
      <c r="A10">
        <v>830201</v>
      </c>
      <c r="B10" s="33" t="s">
        <v>111</v>
      </c>
      <c r="C10" s="133">
        <v>450</v>
      </c>
      <c r="D10" s="169">
        <v>0</v>
      </c>
      <c r="E10" s="133">
        <f>+C10-D10</f>
        <v>450</v>
      </c>
      <c r="G10" s="261">
        <f>+D10/C10</f>
        <v>0</v>
      </c>
    </row>
    <row r="11" spans="1:8">
      <c r="A11">
        <v>830100</v>
      </c>
      <c r="B11" s="33" t="s">
        <v>112</v>
      </c>
      <c r="C11" s="133">
        <v>600</v>
      </c>
      <c r="D11" s="169">
        <v>75.58</v>
      </c>
      <c r="E11" s="133">
        <f t="shared" ref="E11:E19" si="0">+C11-D11</f>
        <v>524.41999999999996</v>
      </c>
      <c r="G11" s="261">
        <f t="shared" ref="G11:G15" si="1">+D11/C11</f>
        <v>0.12596666666666667</v>
      </c>
    </row>
    <row r="12" spans="1:8">
      <c r="A12">
        <v>830500</v>
      </c>
      <c r="B12" s="33" t="s">
        <v>113</v>
      </c>
      <c r="C12" s="133">
        <v>5000</v>
      </c>
      <c r="D12" s="169">
        <v>4415.67</v>
      </c>
      <c r="E12" s="133">
        <f t="shared" si="0"/>
        <v>584.32999999999993</v>
      </c>
      <c r="G12" s="261">
        <f t="shared" si="1"/>
        <v>0.88313399999999997</v>
      </c>
    </row>
    <row r="13" spans="1:8">
      <c r="A13">
        <v>830400</v>
      </c>
      <c r="B13" s="221" t="s">
        <v>166</v>
      </c>
      <c r="C13" s="133">
        <v>500</v>
      </c>
      <c r="D13" s="169">
        <v>0</v>
      </c>
      <c r="E13" s="133">
        <f t="shared" si="0"/>
        <v>500</v>
      </c>
      <c r="G13" s="261">
        <f t="shared" si="1"/>
        <v>0</v>
      </c>
    </row>
    <row r="14" spans="1:8">
      <c r="A14">
        <v>830750</v>
      </c>
      <c r="B14" s="33" t="s">
        <v>114</v>
      </c>
      <c r="C14" s="133">
        <v>1500</v>
      </c>
      <c r="D14" s="169">
        <v>0</v>
      </c>
      <c r="E14" s="133">
        <f t="shared" si="0"/>
        <v>1500</v>
      </c>
      <c r="G14" s="261">
        <f t="shared" si="1"/>
        <v>0</v>
      </c>
    </row>
    <row r="15" spans="1:8">
      <c r="A15">
        <v>830770</v>
      </c>
      <c r="B15" s="33" t="s">
        <v>118</v>
      </c>
      <c r="C15" s="133">
        <v>900</v>
      </c>
      <c r="D15" s="169">
        <v>199.29</v>
      </c>
      <c r="E15" s="133">
        <f t="shared" si="0"/>
        <v>700.71</v>
      </c>
      <c r="G15" s="261">
        <f t="shared" si="1"/>
        <v>0.22143333333333332</v>
      </c>
    </row>
    <row r="16" spans="1:8">
      <c r="B16" s="221" t="s">
        <v>115</v>
      </c>
      <c r="C16" s="133">
        <v>0</v>
      </c>
      <c r="D16" s="169">
        <v>0</v>
      </c>
      <c r="E16" s="133">
        <f t="shared" si="0"/>
        <v>0</v>
      </c>
      <c r="G16" s="261">
        <v>0</v>
      </c>
    </row>
    <row r="17" spans="1:11">
      <c r="A17">
        <v>836170</v>
      </c>
      <c r="B17" s="33" t="s">
        <v>117</v>
      </c>
      <c r="C17" s="133">
        <v>0</v>
      </c>
      <c r="D17" s="169">
        <v>0</v>
      </c>
      <c r="E17" s="133">
        <f t="shared" si="0"/>
        <v>0</v>
      </c>
    </row>
    <row r="18" spans="1:11" s="362" customFormat="1">
      <c r="B18" s="221" t="s">
        <v>240</v>
      </c>
      <c r="C18" s="133">
        <v>0</v>
      </c>
      <c r="D18" s="169">
        <v>30.94</v>
      </c>
      <c r="E18" s="133">
        <f t="shared" si="0"/>
        <v>-30.94</v>
      </c>
      <c r="F18" s="124"/>
      <c r="G18" s="261"/>
      <c r="H18" s="122"/>
    </row>
    <row r="19" spans="1:11">
      <c r="A19">
        <v>839200</v>
      </c>
      <c r="B19" s="33" t="s">
        <v>147</v>
      </c>
      <c r="C19" s="133">
        <v>0</v>
      </c>
      <c r="D19" s="169">
        <v>0</v>
      </c>
      <c r="E19" s="133">
        <f t="shared" si="0"/>
        <v>0</v>
      </c>
    </row>
    <row r="20" spans="1:11">
      <c r="B20" s="99" t="s">
        <v>75</v>
      </c>
      <c r="C20" s="171">
        <f>SUM(C10:C19)</f>
        <v>8950</v>
      </c>
      <c r="D20" s="171">
        <f>SUM(D10:D19)</f>
        <v>4721.4799999999996</v>
      </c>
      <c r="E20" s="171">
        <f>SUM(E10:E19)</f>
        <v>4228.5200000000004</v>
      </c>
      <c r="F20" s="331"/>
      <c r="G20" s="258">
        <f>+D20/C20</f>
        <v>0.52753966480446923</v>
      </c>
    </row>
    <row r="21" spans="1:11" ht="8.1" customHeight="1">
      <c r="B21" s="1"/>
      <c r="C21" s="172"/>
      <c r="D21" s="172"/>
      <c r="E21" s="172"/>
    </row>
    <row r="22" spans="1:11">
      <c r="B22" s="73" t="s">
        <v>107</v>
      </c>
      <c r="C22" s="173"/>
      <c r="D22" s="173"/>
      <c r="E22" s="173"/>
      <c r="F22" s="270"/>
      <c r="G22" s="258"/>
    </row>
    <row r="23" spans="1:11" s="16" customFormat="1">
      <c r="B23" s="272" t="s">
        <v>168</v>
      </c>
      <c r="C23" s="7">
        <f>243451+115203</f>
        <v>358654</v>
      </c>
      <c r="D23" s="7">
        <f>175455.76+85899.4</f>
        <v>261355.16</v>
      </c>
      <c r="E23" s="363">
        <f>+C23-D23</f>
        <v>97298.84</v>
      </c>
      <c r="F23" s="271"/>
      <c r="G23" s="267">
        <f>+D23/C23</f>
        <v>0.72871112548584427</v>
      </c>
      <c r="H23" s="122"/>
      <c r="K23"/>
    </row>
    <row r="24" spans="1:11">
      <c r="B24" s="29"/>
      <c r="C24" s="133"/>
      <c r="D24" s="169"/>
      <c r="E24" s="133"/>
      <c r="G24" s="263"/>
    </row>
    <row r="25" spans="1:11">
      <c r="B25" s="29" t="s">
        <v>56</v>
      </c>
      <c r="C25" s="106"/>
      <c r="D25" s="138"/>
      <c r="E25" s="106"/>
    </row>
    <row r="26" spans="1:11">
      <c r="A26">
        <v>2307</v>
      </c>
      <c r="B26" s="33" t="s">
        <v>109</v>
      </c>
      <c r="C26" s="118">
        <v>15000</v>
      </c>
      <c r="D26" s="169">
        <v>12988.9</v>
      </c>
      <c r="E26" s="133">
        <f>+C26-D26</f>
        <v>2011.1000000000004</v>
      </c>
      <c r="G26" s="261">
        <f t="shared" ref="G26:G31" si="2">+D26/C26</f>
        <v>0.86592666666666662</v>
      </c>
      <c r="H26"/>
    </row>
    <row r="27" spans="1:11">
      <c r="A27">
        <v>2737</v>
      </c>
      <c r="B27" s="33" t="s">
        <v>110</v>
      </c>
      <c r="C27" s="118">
        <v>7000</v>
      </c>
      <c r="D27" s="169">
        <v>2951.63</v>
      </c>
      <c r="E27" s="133">
        <f>+C27-D27</f>
        <v>4048.37</v>
      </c>
      <c r="G27" s="261">
        <f t="shared" si="2"/>
        <v>0.42166142857142858</v>
      </c>
      <c r="H27"/>
    </row>
    <row r="28" spans="1:11">
      <c r="A28">
        <v>2210</v>
      </c>
      <c r="B28" s="221" t="s">
        <v>236</v>
      </c>
      <c r="C28" s="118">
        <v>10000</v>
      </c>
      <c r="D28" s="169">
        <v>10822.97</v>
      </c>
      <c r="E28" s="133">
        <f>+C28-D28</f>
        <v>-822.96999999999935</v>
      </c>
      <c r="G28" s="261">
        <f t="shared" si="2"/>
        <v>1.0822969999999998</v>
      </c>
      <c r="H28"/>
    </row>
    <row r="29" spans="1:11">
      <c r="A29">
        <v>3816</v>
      </c>
      <c r="B29" s="221" t="s">
        <v>237</v>
      </c>
      <c r="C29" s="118">
        <v>6000</v>
      </c>
      <c r="D29" s="169">
        <v>4015.67</v>
      </c>
      <c r="E29" s="133">
        <f>+C29-D29</f>
        <v>1984.33</v>
      </c>
      <c r="G29" s="261">
        <f t="shared" si="2"/>
        <v>0.66927833333333331</v>
      </c>
      <c r="H29"/>
    </row>
    <row r="30" spans="1:11" hidden="1">
      <c r="B30" s="33"/>
      <c r="C30" s="341"/>
      <c r="D30" s="169"/>
      <c r="E30" s="133">
        <f>+C30-D30</f>
        <v>0</v>
      </c>
      <c r="H30"/>
    </row>
    <row r="31" spans="1:11">
      <c r="B31" s="29" t="s">
        <v>60</v>
      </c>
      <c r="C31" s="160">
        <f>SUM(C26:C30)</f>
        <v>38000</v>
      </c>
      <c r="D31" s="160">
        <f>SUM(D26:D30)</f>
        <v>30779.17</v>
      </c>
      <c r="E31" s="107">
        <f>SUM(E26:E30)</f>
        <v>7220.8300000000008</v>
      </c>
      <c r="F31" s="188"/>
      <c r="G31" s="262">
        <f t="shared" si="2"/>
        <v>0.80997815789473682</v>
      </c>
    </row>
    <row r="32" spans="1:11">
      <c r="B32" s="29" t="s">
        <v>61</v>
      </c>
      <c r="C32" s="118"/>
      <c r="D32" s="118"/>
      <c r="E32" s="106"/>
    </row>
    <row r="33" spans="1:8">
      <c r="A33" t="s">
        <v>128</v>
      </c>
      <c r="B33" s="33" t="s">
        <v>81</v>
      </c>
      <c r="C33" s="118">
        <v>40000</v>
      </c>
      <c r="D33" s="169">
        <v>33787.35</v>
      </c>
      <c r="E33" s="133">
        <f>+C33-D33</f>
        <v>6212.6500000000015</v>
      </c>
      <c r="G33" s="261">
        <f>+D33/C33</f>
        <v>0.84468374999999996</v>
      </c>
      <c r="H33" s="169"/>
    </row>
    <row r="34" spans="1:8">
      <c r="A34" t="s">
        <v>126</v>
      </c>
      <c r="B34" s="33" t="s">
        <v>85</v>
      </c>
      <c r="C34" s="118">
        <v>12000</v>
      </c>
      <c r="D34" s="169">
        <v>2739.8</v>
      </c>
      <c r="E34" s="133">
        <f t="shared" ref="E34:E42" si="3">+C34-D34</f>
        <v>9260.2000000000007</v>
      </c>
      <c r="G34" s="261">
        <f t="shared" ref="G34:G42" si="4">+D34/C34</f>
        <v>0.2283166666666667</v>
      </c>
      <c r="H34" s="169"/>
    </row>
    <row r="35" spans="1:8">
      <c r="A35" t="s">
        <v>127</v>
      </c>
      <c r="B35" s="33" t="s">
        <v>86</v>
      </c>
      <c r="C35" s="118">
        <v>5000</v>
      </c>
      <c r="D35" s="169">
        <v>131</v>
      </c>
      <c r="E35" s="133">
        <f t="shared" si="3"/>
        <v>4869</v>
      </c>
      <c r="G35" s="261">
        <f t="shared" si="4"/>
        <v>2.6200000000000001E-2</v>
      </c>
      <c r="H35" s="169"/>
    </row>
    <row r="36" spans="1:8">
      <c r="A36" t="s">
        <v>129</v>
      </c>
      <c r="B36" s="33" t="s">
        <v>83</v>
      </c>
      <c r="C36" s="118">
        <v>5000</v>
      </c>
      <c r="D36" s="169">
        <v>1545.22</v>
      </c>
      <c r="E36" s="133">
        <f t="shared" si="3"/>
        <v>3454.7799999999997</v>
      </c>
      <c r="G36" s="261">
        <f t="shared" si="4"/>
        <v>0.30904399999999999</v>
      </c>
      <c r="H36" s="169"/>
    </row>
    <row r="37" spans="1:8">
      <c r="A37" t="s">
        <v>130</v>
      </c>
      <c r="B37" s="33" t="s">
        <v>82</v>
      </c>
      <c r="C37" s="118">
        <v>5000</v>
      </c>
      <c r="D37" s="169">
        <v>1148.9000000000001</v>
      </c>
      <c r="E37" s="133">
        <f t="shared" si="3"/>
        <v>3851.1</v>
      </c>
      <c r="G37" s="261">
        <f t="shared" si="4"/>
        <v>0.22978000000000001</v>
      </c>
      <c r="H37" s="169"/>
    </row>
    <row r="38" spans="1:8">
      <c r="A38" t="s">
        <v>131</v>
      </c>
      <c r="B38" s="33" t="s">
        <v>84</v>
      </c>
      <c r="C38" s="118">
        <v>5000</v>
      </c>
      <c r="D38" s="170">
        <v>1430.38</v>
      </c>
      <c r="E38" s="133">
        <f t="shared" si="3"/>
        <v>3569.62</v>
      </c>
      <c r="G38" s="261">
        <f t="shared" si="4"/>
        <v>0.286076</v>
      </c>
      <c r="H38" s="169"/>
    </row>
    <row r="39" spans="1:8">
      <c r="A39" t="s">
        <v>125</v>
      </c>
      <c r="B39" s="221" t="s">
        <v>160</v>
      </c>
      <c r="C39" s="118">
        <v>0</v>
      </c>
      <c r="D39" s="169">
        <v>0</v>
      </c>
      <c r="E39" s="133">
        <f t="shared" si="3"/>
        <v>0</v>
      </c>
      <c r="H39" s="169"/>
    </row>
    <row r="40" spans="1:8">
      <c r="B40" s="221" t="s">
        <v>173</v>
      </c>
      <c r="C40" s="118">
        <v>0</v>
      </c>
      <c r="D40" s="169">
        <v>0</v>
      </c>
      <c r="E40" s="133">
        <f t="shared" si="3"/>
        <v>0</v>
      </c>
      <c r="G40" s="261">
        <v>0</v>
      </c>
      <c r="H40" s="169"/>
    </row>
    <row r="41" spans="1:8">
      <c r="B41" s="221" t="s">
        <v>175</v>
      </c>
      <c r="C41" s="118">
        <v>0</v>
      </c>
      <c r="D41" s="169">
        <v>0</v>
      </c>
      <c r="E41" s="133">
        <f t="shared" si="3"/>
        <v>0</v>
      </c>
      <c r="G41" s="261">
        <v>0</v>
      </c>
      <c r="H41" s="169"/>
    </row>
    <row r="42" spans="1:8">
      <c r="B42" s="33" t="s">
        <v>105</v>
      </c>
      <c r="C42" s="118">
        <v>2000</v>
      </c>
      <c r="D42" s="311">
        <v>1751.35</v>
      </c>
      <c r="E42" s="133">
        <f t="shared" si="3"/>
        <v>248.65000000000009</v>
      </c>
      <c r="G42" s="261">
        <f t="shared" si="4"/>
        <v>0.87567499999999998</v>
      </c>
      <c r="H42" s="311"/>
    </row>
    <row r="43" spans="1:8">
      <c r="B43" s="29" t="s">
        <v>68</v>
      </c>
      <c r="C43" s="160">
        <f>SUM(C33:C42)</f>
        <v>74000</v>
      </c>
      <c r="D43" s="160">
        <f>SUM(D33:D42)</f>
        <v>42534</v>
      </c>
      <c r="E43" s="107">
        <f>SUM(E33:E42)</f>
        <v>31466</v>
      </c>
      <c r="F43" s="188"/>
      <c r="G43" s="262">
        <f>+D43/C43</f>
        <v>0.57478378378378381</v>
      </c>
    </row>
    <row r="44" spans="1:8">
      <c r="B44" s="29" t="s">
        <v>152</v>
      </c>
      <c r="C44" s="106"/>
      <c r="D44" s="106"/>
      <c r="E44" s="106"/>
    </row>
    <row r="45" spans="1:8">
      <c r="A45">
        <v>842678</v>
      </c>
      <c r="B45" s="182" t="s">
        <v>116</v>
      </c>
      <c r="C45" s="133">
        <v>4000</v>
      </c>
      <c r="D45" s="170">
        <v>4708.05</v>
      </c>
      <c r="E45" s="133">
        <f t="shared" ref="E45:E50" si="5">+C45-D45</f>
        <v>-708.05000000000018</v>
      </c>
      <c r="G45" s="263">
        <f t="shared" ref="G45:G51" si="6">+D45/C45</f>
        <v>1.1770125</v>
      </c>
    </row>
    <row r="46" spans="1:8">
      <c r="B46" s="221" t="s">
        <v>167</v>
      </c>
      <c r="C46" s="133">
        <v>3000</v>
      </c>
      <c r="D46" s="170">
        <v>1872.88</v>
      </c>
      <c r="E46" s="133">
        <f t="shared" si="5"/>
        <v>1127.1199999999999</v>
      </c>
      <c r="G46" s="263">
        <f t="shared" si="6"/>
        <v>0.62429333333333337</v>
      </c>
    </row>
    <row r="47" spans="1:8">
      <c r="A47">
        <v>842680</v>
      </c>
      <c r="B47" s="221" t="s">
        <v>170</v>
      </c>
      <c r="C47" s="133">
        <v>2000</v>
      </c>
      <c r="D47" s="170">
        <v>40</v>
      </c>
      <c r="E47" s="133">
        <f t="shared" si="5"/>
        <v>1960</v>
      </c>
      <c r="G47" s="263">
        <f t="shared" si="6"/>
        <v>0.02</v>
      </c>
    </row>
    <row r="48" spans="1:8">
      <c r="A48">
        <v>842682</v>
      </c>
      <c r="B48" s="33" t="s">
        <v>148</v>
      </c>
      <c r="C48" s="133">
        <v>2000</v>
      </c>
      <c r="D48" s="170">
        <v>158.34</v>
      </c>
      <c r="E48" s="133">
        <f t="shared" si="5"/>
        <v>1841.66</v>
      </c>
      <c r="G48" s="263">
        <f t="shared" si="6"/>
        <v>7.9170000000000004E-2</v>
      </c>
    </row>
    <row r="49" spans="1:10">
      <c r="B49" s="221" t="s">
        <v>180</v>
      </c>
      <c r="C49" s="133">
        <v>0</v>
      </c>
      <c r="D49" s="170">
        <v>0</v>
      </c>
      <c r="E49" s="133">
        <f t="shared" si="5"/>
        <v>0</v>
      </c>
      <c r="G49" s="263">
        <v>0</v>
      </c>
    </row>
    <row r="50" spans="1:10">
      <c r="A50">
        <v>839950</v>
      </c>
      <c r="B50" s="221" t="s">
        <v>181</v>
      </c>
      <c r="C50" s="133">
        <v>1000</v>
      </c>
      <c r="D50" s="170">
        <v>158.16</v>
      </c>
      <c r="E50" s="133">
        <f t="shared" si="5"/>
        <v>841.84</v>
      </c>
      <c r="G50" s="263">
        <f t="shared" si="6"/>
        <v>0.15816</v>
      </c>
    </row>
    <row r="51" spans="1:10">
      <c r="B51" s="29" t="s">
        <v>154</v>
      </c>
      <c r="C51" s="107">
        <f>SUM(C45:C50)</f>
        <v>12000</v>
      </c>
      <c r="D51" s="160">
        <f>SUM(D45:D50)</f>
        <v>6937.43</v>
      </c>
      <c r="E51" s="107">
        <f>SUM(E45:E50)</f>
        <v>5062.57</v>
      </c>
      <c r="F51" s="189"/>
      <c r="G51" s="262">
        <f t="shared" si="6"/>
        <v>0.57811916666666674</v>
      </c>
      <c r="I51" s="25"/>
    </row>
    <row r="52" spans="1:10">
      <c r="B52" s="4" t="s">
        <v>72</v>
      </c>
      <c r="C52" s="118"/>
      <c r="D52" s="106"/>
      <c r="E52" s="106"/>
      <c r="F52" s="174"/>
    </row>
    <row r="53" spans="1:10">
      <c r="B53" s="221" t="s">
        <v>194</v>
      </c>
      <c r="C53" s="118">
        <v>320000</v>
      </c>
      <c r="D53" s="169">
        <f>81750+11250</f>
        <v>93000</v>
      </c>
      <c r="E53" s="133">
        <f>+C53-D53</f>
        <v>227000</v>
      </c>
      <c r="F53" s="174"/>
      <c r="G53" s="261">
        <f>+D53/C53</f>
        <v>0.29062500000000002</v>
      </c>
    </row>
    <row r="54" spans="1:10">
      <c r="B54" s="221" t="s">
        <v>195</v>
      </c>
      <c r="C54" s="118">
        <v>120000</v>
      </c>
      <c r="D54" s="169">
        <v>20000</v>
      </c>
      <c r="E54" s="133">
        <f>+C54-D54</f>
        <v>100000</v>
      </c>
      <c r="F54" s="174"/>
      <c r="G54" s="260">
        <f>+D54/C54</f>
        <v>0.16666666666666666</v>
      </c>
    </row>
    <row r="55" spans="1:10">
      <c r="B55" s="33" t="s">
        <v>90</v>
      </c>
      <c r="C55" s="138">
        <v>211567</v>
      </c>
      <c r="D55" s="169">
        <v>94826.08</v>
      </c>
      <c r="E55" s="133">
        <f>+C55-D55</f>
        <v>116740.92</v>
      </c>
      <c r="F55" s="174"/>
      <c r="G55" s="260">
        <f>+D55/C55</f>
        <v>0.44820827444733818</v>
      </c>
      <c r="H55" s="123"/>
      <c r="I55" s="193"/>
      <c r="J55" s="193"/>
    </row>
    <row r="56" spans="1:10">
      <c r="B56" s="221" t="s">
        <v>301</v>
      </c>
      <c r="C56" s="138">
        <v>0.01</v>
      </c>
      <c r="D56" s="169">
        <v>-11250</v>
      </c>
      <c r="E56" s="133">
        <f>+C56-D56</f>
        <v>11250.01</v>
      </c>
      <c r="F56" s="174"/>
      <c r="G56" s="260">
        <v>0</v>
      </c>
      <c r="H56" s="240"/>
      <c r="I56" s="240"/>
      <c r="J56" s="240"/>
    </row>
    <row r="57" spans="1:10">
      <c r="B57" s="4" t="s">
        <v>74</v>
      </c>
      <c r="C57" s="107">
        <f>SUM(C53:C56)</f>
        <v>651567.01</v>
      </c>
      <c r="D57" s="107">
        <f>SUM(D53:D56)</f>
        <v>196576.08000000002</v>
      </c>
      <c r="E57" s="107">
        <f>SUM(E53:E56)</f>
        <v>454990.93</v>
      </c>
      <c r="F57" s="188"/>
      <c r="G57" s="259">
        <f>+D57/C57</f>
        <v>0.30169741098463537</v>
      </c>
      <c r="H57" s="240"/>
      <c r="I57" s="240"/>
      <c r="J57" s="240"/>
    </row>
    <row r="58" spans="1:10">
      <c r="B58" s="73" t="s">
        <v>91</v>
      </c>
      <c r="C58" s="185">
        <f>SUM(C57,C51,C43,C31,,C23)</f>
        <v>1134221.01</v>
      </c>
      <c r="D58" s="185">
        <f>SUM(D57,D51,D43,D31,D23)</f>
        <v>538181.84</v>
      </c>
      <c r="E58" s="114">
        <f>+C58-D58-1</f>
        <v>596038.17000000004</v>
      </c>
      <c r="F58" s="190"/>
      <c r="G58" s="258">
        <f>+D58/C58</f>
        <v>0.47449468424147773</v>
      </c>
      <c r="H58" s="240"/>
      <c r="I58" s="241"/>
      <c r="J58" s="240"/>
    </row>
    <row r="59" spans="1:10">
      <c r="A59" t="s">
        <v>159</v>
      </c>
      <c r="B59" s="221" t="s">
        <v>189</v>
      </c>
      <c r="C59" s="138">
        <v>59297</v>
      </c>
      <c r="D59" s="169">
        <v>35678.97</v>
      </c>
      <c r="E59" s="133">
        <f>+C59-D59</f>
        <v>23618.03</v>
      </c>
      <c r="G59" s="260">
        <f>+D59/C59</f>
        <v>0.60169941143734085</v>
      </c>
    </row>
    <row r="60" spans="1:10" ht="7.5" customHeight="1">
      <c r="B60" s="13"/>
      <c r="C60" s="104"/>
      <c r="D60" s="104"/>
      <c r="E60" s="104"/>
      <c r="G60" s="260"/>
      <c r="H60" s="240"/>
      <c r="I60" s="240"/>
      <c r="J60" s="240"/>
    </row>
    <row r="61" spans="1:10">
      <c r="B61" s="73" t="s">
        <v>92</v>
      </c>
      <c r="C61" s="114">
        <f>SUM(C58,C20,C59)</f>
        <v>1202468.01</v>
      </c>
      <c r="D61" s="114">
        <f>SUM(D58,D20,D59)</f>
        <v>578582.28999999992</v>
      </c>
      <c r="E61" s="114">
        <f>+C61-D61</f>
        <v>623885.72000000009</v>
      </c>
      <c r="F61" s="190"/>
      <c r="G61" s="258">
        <f>+D61/C61</f>
        <v>0.48116231383153379</v>
      </c>
      <c r="H61" s="242">
        <v>3377322</v>
      </c>
      <c r="I61" s="243"/>
      <c r="J61" s="240"/>
    </row>
    <row r="62" spans="1:10" s="193" customFormat="1">
      <c r="B62" s="237"/>
      <c r="C62" s="138"/>
      <c r="D62" s="138"/>
      <c r="E62" s="138"/>
      <c r="F62" s="187"/>
      <c r="G62" s="166"/>
      <c r="H62" s="242"/>
      <c r="I62" s="243"/>
      <c r="J62" s="240"/>
    </row>
    <row r="63" spans="1:10" s="193" customFormat="1">
      <c r="A63" s="193" t="s">
        <v>169</v>
      </c>
      <c r="B63" s="228" t="s">
        <v>312</v>
      </c>
      <c r="C63" s="138"/>
      <c r="D63" s="138"/>
      <c r="E63" s="138"/>
      <c r="F63" s="187"/>
      <c r="G63" s="307"/>
      <c r="H63" s="242"/>
      <c r="I63" s="243"/>
      <c r="J63" s="240"/>
    </row>
    <row r="64" spans="1:10" s="193" customFormat="1">
      <c r="B64" s="226"/>
      <c r="C64" s="138"/>
      <c r="D64" s="138"/>
      <c r="E64" s="138"/>
      <c r="F64" s="187"/>
      <c r="G64" s="307"/>
      <c r="H64" s="242"/>
      <c r="I64" s="243"/>
      <c r="J64" s="240"/>
    </row>
    <row r="65" spans="2:7">
      <c r="B65" s="367"/>
      <c r="C65" s="16"/>
      <c r="D65" s="122"/>
      <c r="E65" s="119"/>
      <c r="G65" s="264"/>
    </row>
    <row r="66" spans="2:7">
      <c r="B66" s="16"/>
      <c r="C66" s="153"/>
      <c r="D66" s="120"/>
      <c r="E66" s="122"/>
      <c r="G66" s="265" t="s">
        <v>93</v>
      </c>
    </row>
    <row r="67" spans="2:7">
      <c r="B67" s="226"/>
      <c r="C67" s="119"/>
      <c r="D67" s="122"/>
      <c r="E67" s="122"/>
      <c r="G67" s="264"/>
    </row>
    <row r="68" spans="2:7">
      <c r="B68" s="13"/>
      <c r="C68" s="121"/>
      <c r="D68" s="123"/>
      <c r="E68" s="123"/>
    </row>
    <row r="69" spans="2:7">
      <c r="B69" s="13"/>
      <c r="C69" s="121"/>
      <c r="D69" s="121"/>
      <c r="E69" s="121"/>
    </row>
    <row r="70" spans="2:7">
      <c r="B70" s="13"/>
      <c r="C70" s="123"/>
      <c r="D70" s="123"/>
      <c r="E70" s="123"/>
    </row>
    <row r="71" spans="2:7">
      <c r="C71" s="144"/>
      <c r="D71" s="144"/>
      <c r="E71" s="144"/>
    </row>
  </sheetData>
  <mergeCells count="5">
    <mergeCell ref="B2:H2"/>
    <mergeCell ref="B1:H1"/>
    <mergeCell ref="B3:H3"/>
    <mergeCell ref="B4:H4"/>
    <mergeCell ref="B5:H5"/>
  </mergeCells>
  <phoneticPr fontId="11" type="noConversion"/>
  <printOptions horizontalCentered="1" verticalCentered="1"/>
  <pageMargins left="0.5" right="0" top="0.25" bottom="0" header="0" footer="0"/>
  <pageSetup scale="71" orientation="portrait" horizont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W241"/>
  <sheetViews>
    <sheetView view="pageBreakPreview" zoomScale="110" zoomScaleNormal="100" zoomScaleSheetLayoutView="110" workbookViewId="0">
      <pane ySplit="5" topLeftCell="A6" activePane="bottomLeft" state="frozen"/>
      <selection activeCell="B5" sqref="B5:H5"/>
      <selection pane="bottomLeft" activeCell="F79" sqref="F79"/>
    </sheetView>
  </sheetViews>
  <sheetFormatPr defaultRowHeight="12.75"/>
  <cols>
    <col min="1" max="1" width="10.28515625" customWidth="1"/>
    <col min="2" max="2" width="16" hidden="1" customWidth="1"/>
    <col min="3" max="3" width="50.7109375" style="86" customWidth="1"/>
    <col min="4" max="4" width="2.7109375" customWidth="1"/>
    <col min="5" max="5" width="14.28515625" bestFit="1" customWidth="1"/>
    <col min="6" max="6" width="13.140625" bestFit="1" customWidth="1"/>
    <col min="7" max="7" width="15.28515625" customWidth="1"/>
    <col min="8" max="8" width="11.7109375" style="145" hidden="1" customWidth="1"/>
    <col min="9" max="9" width="10.42578125" style="127" bestFit="1" customWidth="1"/>
    <col min="10" max="10" width="10.28515625" style="122" bestFit="1" customWidth="1"/>
    <col min="11" max="11" width="9.28515625" style="122" bestFit="1" customWidth="1"/>
  </cols>
  <sheetData>
    <row r="2" spans="1:23" ht="12.75" customHeight="1">
      <c r="A2" s="403" t="s">
        <v>1</v>
      </c>
      <c r="B2" s="394"/>
      <c r="C2" s="394"/>
      <c r="D2" s="394"/>
      <c r="E2" s="394"/>
      <c r="F2" s="394"/>
      <c r="G2" s="394"/>
    </row>
    <row r="3" spans="1:23">
      <c r="A3" s="406" t="s">
        <v>198</v>
      </c>
      <c r="B3" s="394"/>
      <c r="C3" s="394"/>
      <c r="D3" s="394"/>
      <c r="E3" s="394"/>
      <c r="F3" s="394"/>
      <c r="G3" s="394"/>
    </row>
    <row r="4" spans="1:23">
      <c r="A4" s="406" t="s">
        <v>299</v>
      </c>
      <c r="B4" s="394"/>
      <c r="C4" s="394"/>
      <c r="D4" s="394"/>
      <c r="E4" s="394"/>
      <c r="F4" s="394"/>
      <c r="G4" s="394"/>
    </row>
    <row r="5" spans="1:23" s="16" customFormat="1" ht="15">
      <c r="A5" s="110"/>
      <c r="B5" s="110"/>
      <c r="C5" s="400"/>
      <c r="D5" s="400"/>
      <c r="E5" s="400"/>
      <c r="F5" s="400"/>
      <c r="G5"/>
      <c r="H5" s="145"/>
      <c r="I5" s="127"/>
      <c r="J5" s="152"/>
      <c r="K5" s="152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s="16" customFormat="1" ht="15.75">
      <c r="A6" s="217"/>
      <c r="B6" s="218"/>
      <c r="C6" s="76" t="s">
        <v>196</v>
      </c>
      <c r="D6" s="77"/>
      <c r="E6" s="141" t="s">
        <v>94</v>
      </c>
      <c r="F6" s="141" t="s">
        <v>95</v>
      </c>
      <c r="G6" s="330" t="s">
        <v>96</v>
      </c>
      <c r="H6" s="145"/>
      <c r="I6" s="156"/>
      <c r="J6" s="122"/>
      <c r="K6" s="122"/>
    </row>
    <row r="7" spans="1:23" s="16" customFormat="1">
      <c r="A7" s="78" t="s">
        <v>100</v>
      </c>
      <c r="B7" s="226"/>
      <c r="C7" s="227"/>
      <c r="D7" s="332"/>
      <c r="E7" s="223"/>
      <c r="F7" s="223"/>
      <c r="G7" s="269"/>
      <c r="H7" s="252"/>
      <c r="I7" s="156"/>
      <c r="J7" s="122"/>
      <c r="K7" s="122"/>
    </row>
    <row r="8" spans="1:23" s="16" customFormat="1">
      <c r="A8" s="224" t="s">
        <v>201</v>
      </c>
      <c r="B8" s="226"/>
      <c r="C8" s="227" t="s">
        <v>238</v>
      </c>
      <c r="D8" s="193"/>
      <c r="E8" s="223">
        <v>15000</v>
      </c>
      <c r="F8" s="223">
        <f>3750+9375+1875</f>
        <v>15000</v>
      </c>
      <c r="G8" s="269">
        <f>E8-F8</f>
        <v>0</v>
      </c>
      <c r="H8" s="252"/>
      <c r="I8" s="156"/>
      <c r="J8" s="122"/>
      <c r="K8" s="122"/>
    </row>
    <row r="9" spans="1:23" s="16" customFormat="1">
      <c r="A9" s="222"/>
      <c r="B9" s="218"/>
      <c r="C9" s="266" t="s">
        <v>197</v>
      </c>
      <c r="D9" s="77"/>
      <c r="E9" s="114">
        <f>SUM(E7:E8)</f>
        <v>15000</v>
      </c>
      <c r="F9" s="114">
        <f>SUM(F7:F8)</f>
        <v>15000</v>
      </c>
      <c r="G9" s="115">
        <f>SUM(G7:G8)</f>
        <v>0</v>
      </c>
      <c r="H9" s="252"/>
      <c r="I9" s="156"/>
      <c r="J9" s="122"/>
      <c r="K9" s="122"/>
    </row>
    <row r="10" spans="1:23" s="228" customFormat="1">
      <c r="A10" s="225"/>
      <c r="B10" s="226"/>
      <c r="C10" s="349"/>
      <c r="D10" s="186"/>
      <c r="E10" s="138"/>
      <c r="F10" s="138"/>
      <c r="G10" s="138"/>
      <c r="H10" s="350"/>
      <c r="I10" s="351"/>
      <c r="J10" s="123"/>
      <c r="K10" s="123"/>
    </row>
    <row r="11" spans="1:23" s="16" customFormat="1" ht="15.75">
      <c r="A11" s="217"/>
      <c r="B11" s="218"/>
      <c r="C11" s="76" t="s">
        <v>202</v>
      </c>
      <c r="D11" s="77"/>
      <c r="E11" s="141" t="s">
        <v>94</v>
      </c>
      <c r="F11" s="141" t="s">
        <v>95</v>
      </c>
      <c r="G11" s="330" t="s">
        <v>96</v>
      </c>
      <c r="H11" s="145"/>
      <c r="I11" s="156"/>
      <c r="J11" s="122"/>
      <c r="K11" s="122"/>
    </row>
    <row r="12" spans="1:23" s="228" customFormat="1">
      <c r="A12" s="143" t="s">
        <v>97</v>
      </c>
      <c r="B12" s="226"/>
      <c r="C12" s="191"/>
      <c r="D12" s="186"/>
      <c r="E12" s="138"/>
      <c r="F12" s="138"/>
      <c r="G12" s="353"/>
      <c r="H12" s="350"/>
      <c r="I12" s="351"/>
      <c r="J12" s="123"/>
      <c r="K12" s="123"/>
    </row>
    <row r="13" spans="1:23" s="228" customFormat="1">
      <c r="A13" s="224" t="s">
        <v>208</v>
      </c>
      <c r="B13" s="226"/>
      <c r="C13" s="226" t="s">
        <v>209</v>
      </c>
      <c r="D13" s="352"/>
      <c r="E13" s="223">
        <v>10000</v>
      </c>
      <c r="F13" s="223">
        <f>2500+2500+3750+1250</f>
        <v>10000</v>
      </c>
      <c r="G13" s="269">
        <f t="shared" ref="G13" si="0">E13-F13</f>
        <v>0</v>
      </c>
      <c r="H13" s="350"/>
      <c r="I13" s="351"/>
      <c r="J13" s="123"/>
      <c r="K13" s="123"/>
    </row>
    <row r="14" spans="1:23" s="228" customFormat="1">
      <c r="A14" s="80" t="s">
        <v>98</v>
      </c>
      <c r="B14" s="226"/>
      <c r="C14" s="226"/>
      <c r="D14" s="352"/>
      <c r="E14" s="223"/>
      <c r="F14" s="223"/>
      <c r="G14" s="269"/>
      <c r="H14" s="350"/>
      <c r="I14" s="351"/>
      <c r="J14" s="123"/>
      <c r="K14" s="123"/>
    </row>
    <row r="15" spans="1:23" s="228" customFormat="1">
      <c r="A15" s="224" t="s">
        <v>204</v>
      </c>
      <c r="B15" s="226"/>
      <c r="C15" s="226" t="s">
        <v>205</v>
      </c>
      <c r="D15" s="352"/>
      <c r="E15" s="223">
        <v>15000</v>
      </c>
      <c r="F15" s="223">
        <f>3750+3750+3750</f>
        <v>11250</v>
      </c>
      <c r="G15" s="269">
        <f t="shared" ref="G15" si="1">E15-F15</f>
        <v>3750</v>
      </c>
      <c r="H15" s="350"/>
      <c r="I15" s="351"/>
      <c r="J15" s="123"/>
      <c r="K15" s="123"/>
    </row>
    <row r="16" spans="1:23" s="228" customFormat="1">
      <c r="A16" s="224" t="s">
        <v>210</v>
      </c>
      <c r="B16" s="226"/>
      <c r="C16" s="226" t="s">
        <v>212</v>
      </c>
      <c r="D16" s="352"/>
      <c r="E16" s="223">
        <v>13000</v>
      </c>
      <c r="F16" s="223">
        <f>3250</f>
        <v>3250</v>
      </c>
      <c r="G16" s="269">
        <f t="shared" ref="G16" si="2">E16-F16</f>
        <v>9750</v>
      </c>
      <c r="H16" s="350"/>
      <c r="I16" s="351"/>
      <c r="J16" s="123"/>
      <c r="K16" s="123"/>
    </row>
    <row r="17" spans="1:11" s="228" customFormat="1">
      <c r="A17" s="224" t="s">
        <v>211</v>
      </c>
      <c r="B17" s="226"/>
      <c r="C17" s="226" t="s">
        <v>213</v>
      </c>
      <c r="D17" s="352"/>
      <c r="E17" s="223">
        <v>15000</v>
      </c>
      <c r="F17" s="223">
        <f>3750+3750+3750+1875</f>
        <v>13125</v>
      </c>
      <c r="G17" s="269">
        <f t="shared" ref="G17" si="3">E17-F17</f>
        <v>1875</v>
      </c>
      <c r="H17" s="350"/>
      <c r="I17" s="351"/>
      <c r="J17" s="123"/>
      <c r="K17" s="123"/>
    </row>
    <row r="18" spans="1:11" s="228" customFormat="1">
      <c r="A18" s="78" t="s">
        <v>99</v>
      </c>
      <c r="B18" s="226"/>
      <c r="C18" s="226"/>
      <c r="D18" s="352"/>
      <c r="E18" s="223"/>
      <c r="F18" s="223"/>
      <c r="G18" s="354"/>
      <c r="H18" s="350"/>
      <c r="I18" s="351"/>
      <c r="J18" s="123"/>
      <c r="K18" s="123"/>
    </row>
    <row r="19" spans="1:11" s="228" customFormat="1">
      <c r="A19" s="224" t="s">
        <v>220</v>
      </c>
      <c r="B19" s="226"/>
      <c r="C19" s="226" t="s">
        <v>214</v>
      </c>
      <c r="D19" s="352"/>
      <c r="E19" s="223">
        <v>20000</v>
      </c>
      <c r="F19" s="223">
        <f>5000+5000+5000+2500</f>
        <v>17500</v>
      </c>
      <c r="G19" s="269">
        <f t="shared" ref="G19" si="4">E19-F19</f>
        <v>2500</v>
      </c>
      <c r="H19" s="350"/>
      <c r="I19" s="351"/>
      <c r="J19" s="123"/>
      <c r="K19" s="123"/>
    </row>
    <row r="20" spans="1:11" s="228" customFormat="1">
      <c r="A20" s="78" t="s">
        <v>100</v>
      </c>
      <c r="B20" s="226"/>
      <c r="C20" s="226"/>
      <c r="D20" s="352"/>
      <c r="E20" s="223"/>
      <c r="F20" s="223"/>
      <c r="G20" s="354"/>
      <c r="H20" s="350"/>
      <c r="I20" s="351"/>
      <c r="J20" s="123"/>
      <c r="K20" s="123"/>
    </row>
    <row r="21" spans="1:11" s="228" customFormat="1">
      <c r="A21" s="224" t="s">
        <v>215</v>
      </c>
      <c r="B21" s="226"/>
      <c r="C21" s="226" t="s">
        <v>309</v>
      </c>
      <c r="D21" s="352"/>
      <c r="E21" s="223">
        <v>15000</v>
      </c>
      <c r="F21" s="223">
        <f>3750+3750-3750</f>
        <v>3750</v>
      </c>
      <c r="G21" s="392" t="s">
        <v>310</v>
      </c>
      <c r="H21" s="350"/>
      <c r="I21" s="351"/>
      <c r="J21" s="123"/>
      <c r="K21" s="123"/>
    </row>
    <row r="22" spans="1:11" s="228" customFormat="1">
      <c r="A22" s="224" t="s">
        <v>216</v>
      </c>
      <c r="B22" s="226"/>
      <c r="C22" s="226" t="s">
        <v>218</v>
      </c>
      <c r="D22" s="352"/>
      <c r="E22" s="223">
        <v>15000</v>
      </c>
      <c r="F22" s="223">
        <f>3750+3750+3750+1875</f>
        <v>13125</v>
      </c>
      <c r="G22" s="269">
        <f t="shared" ref="G22:G23" si="5">E22-F22</f>
        <v>1875</v>
      </c>
      <c r="H22" s="350"/>
      <c r="I22" s="351"/>
      <c r="J22" s="123"/>
      <c r="K22" s="123"/>
    </row>
    <row r="23" spans="1:11" s="228" customFormat="1">
      <c r="A23" s="224" t="s">
        <v>217</v>
      </c>
      <c r="B23" s="226"/>
      <c r="C23" s="226" t="s">
        <v>219</v>
      </c>
      <c r="D23" s="352"/>
      <c r="E23" s="223">
        <v>15000</v>
      </c>
      <c r="F23" s="223">
        <f>3750+3750+3750+1875+1875</f>
        <v>15000</v>
      </c>
      <c r="G23" s="269">
        <f t="shared" si="5"/>
        <v>0</v>
      </c>
      <c r="H23" s="350"/>
      <c r="I23" s="351"/>
      <c r="J23" s="123"/>
      <c r="K23" s="123"/>
    </row>
    <row r="24" spans="1:11" s="16" customFormat="1">
      <c r="A24" s="222"/>
      <c r="B24" s="218"/>
      <c r="C24" s="266" t="s">
        <v>203</v>
      </c>
      <c r="D24" s="77"/>
      <c r="E24" s="114">
        <f>SUM(E12:E23)</f>
        <v>118000</v>
      </c>
      <c r="F24" s="114">
        <f>SUM(F12:F23)</f>
        <v>87000</v>
      </c>
      <c r="G24" s="346">
        <f>SUM(G12:G23)</f>
        <v>19750</v>
      </c>
      <c r="H24" s="252"/>
      <c r="I24" s="156"/>
      <c r="J24" s="122"/>
      <c r="K24" s="122"/>
    </row>
    <row r="25" spans="1:11" s="16" customFormat="1" ht="15.75">
      <c r="A25" s="82"/>
      <c r="B25" s="83"/>
      <c r="C25" s="181"/>
      <c r="D25" s="142"/>
      <c r="E25" s="140"/>
      <c r="F25" s="158"/>
      <c r="G25" s="364"/>
      <c r="H25" s="252"/>
      <c r="I25" s="156"/>
      <c r="J25" s="122"/>
      <c r="K25" s="122"/>
    </row>
    <row r="26" spans="1:11" s="16" customFormat="1" ht="15.75">
      <c r="A26" s="217"/>
      <c r="B26" s="218"/>
      <c r="C26" s="76" t="s">
        <v>222</v>
      </c>
      <c r="D26" s="77"/>
      <c r="E26" s="141" t="s">
        <v>94</v>
      </c>
      <c r="F26" s="141" t="s">
        <v>95</v>
      </c>
      <c r="G26" s="330" t="s">
        <v>96</v>
      </c>
      <c r="H26" s="145"/>
      <c r="I26" s="156"/>
      <c r="J26" s="122"/>
      <c r="K26" s="122"/>
    </row>
    <row r="27" spans="1:11" s="16" customFormat="1">
      <c r="A27" s="80" t="s">
        <v>98</v>
      </c>
      <c r="B27" s="226"/>
      <c r="C27" s="227"/>
      <c r="D27" s="368"/>
      <c r="E27" s="223"/>
      <c r="F27" s="223"/>
      <c r="G27" s="269"/>
      <c r="H27" s="252"/>
      <c r="I27" s="156"/>
      <c r="J27" s="122"/>
      <c r="K27" s="122"/>
    </row>
    <row r="28" spans="1:11" s="16" customFormat="1">
      <c r="A28" s="224" t="s">
        <v>232</v>
      </c>
      <c r="B28" s="226"/>
      <c r="C28" s="227" t="s">
        <v>233</v>
      </c>
      <c r="D28" s="368"/>
      <c r="E28" s="223">
        <v>15000</v>
      </c>
      <c r="F28" s="223">
        <f>3750+3750+3750</f>
        <v>11250</v>
      </c>
      <c r="G28" s="269">
        <f t="shared" ref="G28:G29" si="6">E28-F28</f>
        <v>3750</v>
      </c>
      <c r="H28" s="252"/>
      <c r="I28" s="156"/>
      <c r="J28" s="122"/>
      <c r="K28" s="122"/>
    </row>
    <row r="29" spans="1:11" s="16" customFormat="1">
      <c r="A29" s="224" t="s">
        <v>224</v>
      </c>
      <c r="B29" s="226"/>
      <c r="C29" s="227" t="s">
        <v>225</v>
      </c>
      <c r="D29" s="368"/>
      <c r="E29" s="223">
        <v>4000</v>
      </c>
      <c r="F29" s="223">
        <f>1000+1000</f>
        <v>2000</v>
      </c>
      <c r="G29" s="269">
        <f t="shared" si="6"/>
        <v>2000</v>
      </c>
      <c r="H29" s="252"/>
      <c r="I29" s="156"/>
      <c r="J29" s="122"/>
      <c r="K29" s="122"/>
    </row>
    <row r="30" spans="1:11" s="16" customFormat="1">
      <c r="A30" s="78" t="s">
        <v>99</v>
      </c>
      <c r="B30" s="226"/>
      <c r="C30" s="227"/>
      <c r="D30" s="368"/>
      <c r="E30" s="223"/>
      <c r="F30" s="223"/>
      <c r="G30" s="269"/>
      <c r="H30" s="252"/>
      <c r="I30" s="156"/>
      <c r="J30" s="122"/>
      <c r="K30" s="122"/>
    </row>
    <row r="31" spans="1:11" s="16" customFormat="1">
      <c r="A31" s="224" t="s">
        <v>234</v>
      </c>
      <c r="B31" s="226"/>
      <c r="C31" s="227" t="s">
        <v>235</v>
      </c>
      <c r="D31" s="368"/>
      <c r="E31" s="223">
        <v>15000</v>
      </c>
      <c r="F31" s="223">
        <f>7500+3750+1875+1875</f>
        <v>15000</v>
      </c>
      <c r="G31" s="269">
        <f t="shared" ref="G31" si="7">E31-F31</f>
        <v>0</v>
      </c>
      <c r="H31" s="252"/>
      <c r="I31" s="156"/>
      <c r="J31" s="122"/>
      <c r="K31" s="122"/>
    </row>
    <row r="32" spans="1:11" s="16" customFormat="1">
      <c r="A32" s="78" t="s">
        <v>100</v>
      </c>
      <c r="B32" s="226"/>
      <c r="C32" s="227"/>
      <c r="D32" s="368"/>
      <c r="E32" s="223"/>
      <c r="F32" s="223"/>
      <c r="G32" s="269"/>
      <c r="H32" s="252"/>
      <c r="I32" s="156"/>
      <c r="J32" s="122"/>
      <c r="K32" s="122"/>
    </row>
    <row r="33" spans="1:11" s="16" customFormat="1">
      <c r="A33" s="224" t="s">
        <v>226</v>
      </c>
      <c r="B33" s="226"/>
      <c r="C33" s="227" t="s">
        <v>227</v>
      </c>
      <c r="D33" s="368"/>
      <c r="E33" s="223">
        <v>15000</v>
      </c>
      <c r="F33" s="223">
        <f>3750+3750+3750+1875+1875</f>
        <v>15000</v>
      </c>
      <c r="G33" s="269">
        <f>E33-F33</f>
        <v>0</v>
      </c>
      <c r="H33" s="252"/>
      <c r="I33" s="156"/>
      <c r="J33" s="122"/>
      <c r="K33" s="122"/>
    </row>
    <row r="34" spans="1:11" s="16" customFormat="1">
      <c r="A34" s="224" t="s">
        <v>231</v>
      </c>
      <c r="B34" s="226"/>
      <c r="C34" s="227" t="s">
        <v>290</v>
      </c>
      <c r="D34" s="368"/>
      <c r="E34" s="223">
        <v>13000</v>
      </c>
      <c r="F34" s="223">
        <f>3250+3250+3250+1625+1625</f>
        <v>13000</v>
      </c>
      <c r="G34" s="269">
        <f>E34-F34</f>
        <v>0</v>
      </c>
      <c r="H34" s="252"/>
      <c r="I34" s="156"/>
      <c r="J34" s="122"/>
      <c r="K34" s="122"/>
    </row>
    <row r="35" spans="1:11" s="16" customFormat="1">
      <c r="A35" s="222"/>
      <c r="B35" s="218"/>
      <c r="C35" s="266" t="s">
        <v>223</v>
      </c>
      <c r="D35" s="77"/>
      <c r="E35" s="114">
        <f>SUM(E27:E34)</f>
        <v>62000</v>
      </c>
      <c r="F35" s="114">
        <f>SUM(F27:F34)</f>
        <v>56250</v>
      </c>
      <c r="G35" s="115">
        <f>SUM(G27:G34)</f>
        <v>5750</v>
      </c>
      <c r="H35" s="252"/>
      <c r="I35" s="156"/>
      <c r="J35" s="122"/>
      <c r="K35" s="122"/>
    </row>
    <row r="36" spans="1:11" s="16" customFormat="1" ht="15.75">
      <c r="A36" s="82"/>
      <c r="B36" s="83"/>
      <c r="C36" s="181"/>
      <c r="D36" s="142"/>
      <c r="E36" s="140"/>
      <c r="F36" s="158"/>
      <c r="G36" s="364"/>
      <c r="H36" s="252"/>
      <c r="I36" s="156"/>
      <c r="J36" s="122"/>
      <c r="K36" s="122"/>
    </row>
    <row r="37" spans="1:11" s="16" customFormat="1" ht="15.75">
      <c r="A37" s="82"/>
      <c r="B37" s="83"/>
      <c r="C37" s="181"/>
      <c r="D37" s="142"/>
      <c r="E37" s="140"/>
      <c r="F37" s="158"/>
      <c r="G37" s="364"/>
      <c r="H37" s="252"/>
      <c r="I37" s="156"/>
      <c r="J37" s="122"/>
      <c r="K37" s="122"/>
    </row>
    <row r="38" spans="1:11" s="16" customFormat="1" ht="15.75">
      <c r="A38" s="82"/>
      <c r="B38" s="83"/>
      <c r="C38" s="181"/>
      <c r="D38" s="142"/>
      <c r="E38" s="140"/>
      <c r="F38" s="158"/>
      <c r="G38"/>
      <c r="H38" s="252"/>
      <c r="I38" s="127"/>
      <c r="J38" s="122"/>
      <c r="K38" s="122"/>
    </row>
    <row r="39" spans="1:11" s="16" customFormat="1" ht="15.75">
      <c r="A39" s="82"/>
      <c r="B39" s="83"/>
      <c r="C39" s="181"/>
      <c r="D39" s="142"/>
      <c r="E39" s="140"/>
      <c r="F39" s="158"/>
      <c r="G39" s="360"/>
      <c r="H39" s="252"/>
      <c r="I39" s="127"/>
      <c r="J39" s="122"/>
      <c r="K39" s="122"/>
    </row>
    <row r="40" spans="1:11" s="16" customFormat="1" ht="15.75">
      <c r="A40" s="82"/>
      <c r="B40" s="83"/>
      <c r="C40" s="181"/>
      <c r="D40" s="142"/>
      <c r="E40" s="140"/>
      <c r="F40" s="158"/>
      <c r="G40" s="16" t="s">
        <v>228</v>
      </c>
      <c r="H40" s="252"/>
      <c r="I40" s="127"/>
      <c r="J40" s="122"/>
      <c r="K40" s="122"/>
    </row>
    <row r="41" spans="1:11" s="16" customFormat="1" ht="15.75">
      <c r="A41" s="82"/>
      <c r="B41" s="83"/>
      <c r="C41" s="181"/>
      <c r="D41" s="142"/>
      <c r="E41" s="140"/>
      <c r="F41" s="158"/>
      <c r="G41" s="360"/>
      <c r="H41" s="252"/>
      <c r="I41" s="127"/>
      <c r="J41" s="122"/>
      <c r="K41" s="122"/>
    </row>
    <row r="42" spans="1:11" s="16" customFormat="1">
      <c r="A42" s="403" t="s">
        <v>1</v>
      </c>
      <c r="B42" s="394"/>
      <c r="C42" s="394"/>
      <c r="D42" s="394"/>
      <c r="E42" s="394"/>
      <c r="F42" s="394"/>
      <c r="G42" s="394"/>
      <c r="H42" s="252"/>
      <c r="I42" s="127"/>
      <c r="J42" s="122"/>
      <c r="K42" s="122"/>
    </row>
    <row r="43" spans="1:11" s="16" customFormat="1">
      <c r="A43" s="406" t="s">
        <v>198</v>
      </c>
      <c r="B43" s="394"/>
      <c r="C43" s="394"/>
      <c r="D43" s="394"/>
      <c r="E43" s="394"/>
      <c r="F43" s="394"/>
      <c r="G43" s="394"/>
      <c r="H43" s="252"/>
      <c r="I43" s="127"/>
      <c r="J43" s="122"/>
      <c r="K43" s="122"/>
    </row>
    <row r="44" spans="1:11" s="16" customFormat="1">
      <c r="A44" s="406" t="str">
        <f>A4</f>
        <v>STATUS OF DOMESTIC PROJECT PAYMENTS FOR THE PERIOD ENDED SEPTEMBER 30, 2018</v>
      </c>
      <c r="B44" s="394"/>
      <c r="C44" s="394"/>
      <c r="D44" s="394"/>
      <c r="E44" s="394"/>
      <c r="F44" s="394"/>
      <c r="G44" s="394"/>
      <c r="H44" s="252"/>
      <c r="I44" s="127"/>
      <c r="J44" s="122"/>
      <c r="K44" s="122"/>
    </row>
    <row r="45" spans="1:11" s="16" customFormat="1" ht="15.75">
      <c r="A45" s="82"/>
      <c r="B45" s="83"/>
      <c r="C45" s="181"/>
      <c r="D45" s="142"/>
      <c r="E45" s="140"/>
      <c r="F45" s="158"/>
      <c r="G45" s="25"/>
      <c r="H45" s="252"/>
      <c r="I45" s="127"/>
      <c r="J45" s="122"/>
      <c r="K45" s="122"/>
    </row>
    <row r="46" spans="1:11" s="228" customFormat="1">
      <c r="A46" s="225"/>
      <c r="B46" s="226"/>
      <c r="C46" s="370"/>
      <c r="D46" s="371"/>
      <c r="E46" s="341"/>
      <c r="F46" s="341"/>
      <c r="G46" s="372"/>
      <c r="H46" s="350"/>
      <c r="I46" s="351"/>
      <c r="J46" s="123"/>
      <c r="K46" s="123"/>
    </row>
    <row r="47" spans="1:11" s="16" customFormat="1" ht="15.75">
      <c r="A47" s="217"/>
      <c r="B47" s="218"/>
      <c r="C47" s="76" t="s">
        <v>241</v>
      </c>
      <c r="D47" s="77"/>
      <c r="E47" s="141" t="s">
        <v>94</v>
      </c>
      <c r="F47" s="141" t="s">
        <v>95</v>
      </c>
      <c r="G47" s="330" t="s">
        <v>96</v>
      </c>
      <c r="H47" s="145"/>
      <c r="I47" s="156"/>
      <c r="J47" s="122"/>
      <c r="K47" s="122"/>
    </row>
    <row r="48" spans="1:11" s="16" customFormat="1">
      <c r="A48" s="143" t="s">
        <v>97</v>
      </c>
      <c r="B48" s="226"/>
      <c r="C48" s="191"/>
      <c r="D48" s="186"/>
      <c r="E48" s="138"/>
      <c r="F48" s="138"/>
      <c r="G48" s="269"/>
      <c r="H48" s="252"/>
      <c r="I48" s="156"/>
      <c r="J48" s="122"/>
      <c r="K48" s="122"/>
    </row>
    <row r="49" spans="1:11" s="16" customFormat="1">
      <c r="A49" s="224" t="s">
        <v>266</v>
      </c>
      <c r="B49" s="226"/>
      <c r="C49" s="227" t="s">
        <v>275</v>
      </c>
      <c r="D49" s="368"/>
      <c r="E49" s="223">
        <v>15000</v>
      </c>
      <c r="F49" s="223">
        <f>7500</f>
        <v>7500</v>
      </c>
      <c r="G49" s="269">
        <f t="shared" ref="G49" si="8">E49-F49</f>
        <v>7500</v>
      </c>
      <c r="H49" s="252"/>
      <c r="I49" s="156"/>
      <c r="J49" s="122"/>
      <c r="K49" s="122"/>
    </row>
    <row r="50" spans="1:11" s="16" customFormat="1">
      <c r="A50" s="80" t="s">
        <v>98</v>
      </c>
      <c r="B50" s="226"/>
      <c r="C50" s="227"/>
      <c r="D50" s="368"/>
      <c r="E50" s="223"/>
      <c r="F50" s="223"/>
      <c r="G50" s="269"/>
      <c r="H50" s="252"/>
      <c r="I50" s="156"/>
      <c r="J50" s="122"/>
      <c r="K50" s="122"/>
    </row>
    <row r="51" spans="1:11" s="16" customFormat="1">
      <c r="A51" s="224" t="s">
        <v>242</v>
      </c>
      <c r="B51" s="226"/>
      <c r="C51" s="227" t="s">
        <v>243</v>
      </c>
      <c r="D51" s="368"/>
      <c r="E51" s="223">
        <v>15000</v>
      </c>
      <c r="F51" s="223">
        <f>3750+3750+3750+1875+1875</f>
        <v>15000</v>
      </c>
      <c r="G51" s="269">
        <f t="shared" ref="G51:G53" si="9">E51-F51</f>
        <v>0</v>
      </c>
      <c r="H51" s="252"/>
      <c r="I51" s="156"/>
      <c r="J51" s="122"/>
      <c r="K51" s="122"/>
    </row>
    <row r="52" spans="1:11" s="16" customFormat="1">
      <c r="A52" s="224" t="s">
        <v>244</v>
      </c>
      <c r="B52" s="226"/>
      <c r="C52" s="227" t="s">
        <v>245</v>
      </c>
      <c r="D52" s="388"/>
      <c r="E52" s="223">
        <v>14800</v>
      </c>
      <c r="F52" s="223">
        <f>3750+3650</f>
        <v>7400</v>
      </c>
      <c r="G52" s="269">
        <f t="shared" si="9"/>
        <v>7400</v>
      </c>
      <c r="H52" s="252"/>
      <c r="I52" s="156"/>
      <c r="J52" s="122"/>
      <c r="K52" s="122"/>
    </row>
    <row r="53" spans="1:11" s="16" customFormat="1">
      <c r="A53" s="224" t="s">
        <v>267</v>
      </c>
      <c r="B53" s="226"/>
      <c r="C53" s="227" t="s">
        <v>274</v>
      </c>
      <c r="D53" s="368"/>
      <c r="E53" s="223">
        <v>15000</v>
      </c>
      <c r="F53" s="223">
        <f>3750</f>
        <v>3750</v>
      </c>
      <c r="G53" s="269">
        <f t="shared" si="9"/>
        <v>11250</v>
      </c>
      <c r="H53" s="252"/>
      <c r="I53" s="156"/>
      <c r="J53" s="122"/>
      <c r="K53" s="122"/>
    </row>
    <row r="54" spans="1:11" s="16" customFormat="1">
      <c r="A54" s="78" t="s">
        <v>99</v>
      </c>
      <c r="B54" s="226"/>
      <c r="C54" s="227"/>
      <c r="D54" s="368"/>
      <c r="E54" s="223"/>
      <c r="F54" s="223"/>
      <c r="G54" s="269"/>
      <c r="H54" s="252"/>
      <c r="I54" s="156"/>
      <c r="J54" s="122"/>
      <c r="K54" s="122"/>
    </row>
    <row r="55" spans="1:11" s="16" customFormat="1">
      <c r="A55" s="224" t="s">
        <v>253</v>
      </c>
      <c r="B55" s="226"/>
      <c r="C55" s="227" t="s">
        <v>254</v>
      </c>
      <c r="D55" s="373"/>
      <c r="E55" s="223">
        <v>15000</v>
      </c>
      <c r="F55" s="223">
        <f>3750+3750+3750</f>
        <v>11250</v>
      </c>
      <c r="G55" s="269">
        <f t="shared" ref="G55" si="10">E55-F55</f>
        <v>3750</v>
      </c>
      <c r="H55" s="252"/>
      <c r="I55" s="156"/>
      <c r="J55" s="122"/>
      <c r="K55" s="122"/>
    </row>
    <row r="56" spans="1:11" s="16" customFormat="1">
      <c r="A56" s="224" t="s">
        <v>246</v>
      </c>
      <c r="B56" s="226"/>
      <c r="C56" s="227" t="s">
        <v>247</v>
      </c>
      <c r="D56" s="368"/>
      <c r="E56" s="223">
        <v>10000</v>
      </c>
      <c r="F56" s="223">
        <f>2500+2500+2500+1250</f>
        <v>8750</v>
      </c>
      <c r="G56" s="269">
        <f t="shared" ref="G56:G60" si="11">E56-F56</f>
        <v>1250</v>
      </c>
      <c r="H56" s="252"/>
      <c r="I56" s="156"/>
      <c r="J56" s="122"/>
      <c r="K56" s="122"/>
    </row>
    <row r="57" spans="1:11" s="16" customFormat="1">
      <c r="A57" s="224" t="s">
        <v>268</v>
      </c>
      <c r="B57" s="226"/>
      <c r="C57" s="227" t="s">
        <v>272</v>
      </c>
      <c r="D57" s="388"/>
      <c r="E57" s="223">
        <v>15000</v>
      </c>
      <c r="F57" s="223">
        <f>3750+7500</f>
        <v>11250</v>
      </c>
      <c r="G57" s="269">
        <f t="shared" si="11"/>
        <v>3750</v>
      </c>
      <c r="H57" s="252"/>
      <c r="I57" s="156"/>
      <c r="J57" s="122"/>
      <c r="K57" s="122"/>
    </row>
    <row r="58" spans="1:11" s="16" customFormat="1">
      <c r="A58" s="224" t="s">
        <v>269</v>
      </c>
      <c r="B58" s="226"/>
      <c r="C58" s="227" t="s">
        <v>273</v>
      </c>
      <c r="D58" s="388"/>
      <c r="E58" s="223">
        <v>4000</v>
      </c>
      <c r="F58" s="223">
        <f>2000+2000</f>
        <v>4000</v>
      </c>
      <c r="G58" s="269">
        <f t="shared" si="11"/>
        <v>0</v>
      </c>
      <c r="H58" s="252"/>
      <c r="I58" s="156"/>
      <c r="J58" s="122"/>
      <c r="K58" s="122"/>
    </row>
    <row r="59" spans="1:11" s="16" customFormat="1">
      <c r="A59" s="224" t="s">
        <v>270</v>
      </c>
      <c r="B59" s="226"/>
      <c r="C59" s="227" t="s">
        <v>276</v>
      </c>
      <c r="D59" s="388"/>
      <c r="E59" s="223">
        <v>15000</v>
      </c>
      <c r="F59" s="223">
        <f>9100+2950+1475</f>
        <v>13525</v>
      </c>
      <c r="G59" s="269">
        <f t="shared" si="11"/>
        <v>1475</v>
      </c>
      <c r="H59" s="252"/>
      <c r="I59" s="156"/>
      <c r="J59" s="122"/>
      <c r="K59" s="122"/>
    </row>
    <row r="60" spans="1:11" s="16" customFormat="1">
      <c r="A60" s="224" t="s">
        <v>271</v>
      </c>
      <c r="B60" s="226"/>
      <c r="C60" s="227" t="s">
        <v>277</v>
      </c>
      <c r="D60" s="368"/>
      <c r="E60" s="223">
        <v>15000</v>
      </c>
      <c r="F60" s="223">
        <f>3750+3750</f>
        <v>7500</v>
      </c>
      <c r="G60" s="269">
        <f t="shared" si="11"/>
        <v>7500</v>
      </c>
      <c r="H60" s="252"/>
      <c r="I60" s="156"/>
      <c r="J60" s="122"/>
      <c r="K60" s="122"/>
    </row>
    <row r="61" spans="1:11" s="16" customFormat="1">
      <c r="A61" s="78" t="s">
        <v>100</v>
      </c>
      <c r="B61" s="226"/>
      <c r="C61" s="227"/>
      <c r="D61" s="368"/>
      <c r="E61" s="223"/>
      <c r="F61" s="223"/>
      <c r="G61" s="269"/>
      <c r="H61" s="252"/>
      <c r="I61" s="156"/>
      <c r="J61" s="122"/>
      <c r="K61" s="122"/>
    </row>
    <row r="62" spans="1:11" s="16" customFormat="1">
      <c r="A62" s="224" t="s">
        <v>255</v>
      </c>
      <c r="B62" s="226"/>
      <c r="C62" s="227" t="s">
        <v>256</v>
      </c>
      <c r="D62" s="193"/>
      <c r="E62" s="223">
        <v>15000</v>
      </c>
      <c r="F62" s="223">
        <f>3750+3750+3750+1875</f>
        <v>13125</v>
      </c>
      <c r="G62" s="269">
        <f>E62-F62</f>
        <v>1875</v>
      </c>
      <c r="H62" s="252"/>
      <c r="I62" s="156"/>
      <c r="J62" s="122"/>
      <c r="K62" s="122"/>
    </row>
    <row r="63" spans="1:11" s="16" customFormat="1">
      <c r="A63" s="224" t="s">
        <v>257</v>
      </c>
      <c r="B63" s="226"/>
      <c r="C63" s="227" t="s">
        <v>291</v>
      </c>
      <c r="D63" s="373"/>
      <c r="E63" s="223">
        <v>15000</v>
      </c>
      <c r="F63" s="223">
        <f>3750+3750+3750+1875+1875</f>
        <v>15000</v>
      </c>
      <c r="G63" s="269">
        <f>E63-F63</f>
        <v>0</v>
      </c>
      <c r="H63" s="252"/>
      <c r="I63" s="156"/>
      <c r="J63" s="122"/>
      <c r="K63" s="122"/>
    </row>
    <row r="64" spans="1:11" s="228" customFormat="1">
      <c r="A64" s="224" t="s">
        <v>248</v>
      </c>
      <c r="B64" s="226"/>
      <c r="C64" s="227" t="s">
        <v>249</v>
      </c>
      <c r="D64" s="368"/>
      <c r="E64" s="223">
        <v>15000</v>
      </c>
      <c r="F64" s="223">
        <f>3750+11250</f>
        <v>15000</v>
      </c>
      <c r="G64" s="269">
        <f>E64-F64</f>
        <v>0</v>
      </c>
      <c r="H64" s="350"/>
      <c r="I64" s="351"/>
      <c r="J64" s="123"/>
      <c r="K64" s="123"/>
    </row>
    <row r="65" spans="1:11" s="16" customFormat="1">
      <c r="A65" s="222"/>
      <c r="B65" s="218"/>
      <c r="C65" s="266" t="s">
        <v>250</v>
      </c>
      <c r="D65" s="77"/>
      <c r="E65" s="114">
        <f>SUM(E48:E64)</f>
        <v>178800</v>
      </c>
      <c r="F65" s="114">
        <f>SUM(F48:F64)</f>
        <v>133050</v>
      </c>
      <c r="G65" s="115">
        <f>SUM(G48:G64)</f>
        <v>45750</v>
      </c>
      <c r="H65" s="252"/>
      <c r="I65" s="127"/>
      <c r="J65" s="122"/>
      <c r="K65" s="122"/>
    </row>
    <row r="66" spans="1:11" s="16" customFormat="1">
      <c r="A66" s="225"/>
      <c r="B66" s="226"/>
      <c r="C66" s="369"/>
      <c r="D66" s="369"/>
      <c r="E66" s="369"/>
      <c r="F66" s="369"/>
      <c r="G66" s="369"/>
      <c r="H66" s="252"/>
      <c r="I66" s="127"/>
      <c r="J66" s="122"/>
      <c r="K66" s="122"/>
    </row>
    <row r="67" spans="1:11" s="16" customFormat="1" ht="15.75">
      <c r="A67" s="217"/>
      <c r="B67" s="218"/>
      <c r="C67" s="76" t="s">
        <v>293</v>
      </c>
      <c r="D67" s="77"/>
      <c r="E67" s="141" t="s">
        <v>94</v>
      </c>
      <c r="F67" s="141" t="s">
        <v>95</v>
      </c>
      <c r="G67" s="330" t="s">
        <v>96</v>
      </c>
      <c r="H67" s="145"/>
      <c r="I67" s="156"/>
      <c r="J67" s="122"/>
      <c r="K67" s="122"/>
    </row>
    <row r="68" spans="1:11" s="228" customFormat="1">
      <c r="A68" s="143" t="s">
        <v>97</v>
      </c>
      <c r="B68" s="226"/>
      <c r="C68" s="191"/>
      <c r="D68" s="186"/>
      <c r="E68" s="138"/>
      <c r="F68" s="138"/>
      <c r="G68" s="353"/>
      <c r="H68" s="350"/>
      <c r="I68" s="351"/>
      <c r="J68" s="123"/>
      <c r="K68" s="123"/>
    </row>
    <row r="69" spans="1:11" s="228" customFormat="1">
      <c r="A69" s="224" t="s">
        <v>294</v>
      </c>
      <c r="B69" s="226"/>
      <c r="C69" s="226" t="s">
        <v>295</v>
      </c>
      <c r="D69" s="352"/>
      <c r="E69" s="223">
        <v>3000</v>
      </c>
      <c r="F69" s="223">
        <v>3000</v>
      </c>
      <c r="G69" s="269">
        <f t="shared" ref="G69" si="12">E69-F69</f>
        <v>0</v>
      </c>
      <c r="H69" s="350"/>
      <c r="I69" s="351"/>
      <c r="J69" s="123"/>
      <c r="K69" s="123"/>
    </row>
    <row r="70" spans="1:11" s="228" customFormat="1">
      <c r="A70" s="80" t="s">
        <v>98</v>
      </c>
      <c r="B70" s="226"/>
      <c r="C70" s="226"/>
      <c r="D70" s="352"/>
      <c r="E70" s="223"/>
      <c r="F70" s="223"/>
      <c r="G70" s="269"/>
      <c r="H70" s="350"/>
      <c r="I70" s="351"/>
      <c r="J70" s="123"/>
      <c r="K70" s="123"/>
    </row>
    <row r="71" spans="1:11" s="228" customFormat="1">
      <c r="A71" s="224"/>
      <c r="B71" s="226"/>
      <c r="C71" s="226"/>
      <c r="D71" s="352"/>
      <c r="E71" s="223">
        <v>0</v>
      </c>
      <c r="F71" s="223">
        <v>0</v>
      </c>
      <c r="G71" s="269">
        <f t="shared" ref="G71:G73" si="13">E71-F71</f>
        <v>0</v>
      </c>
      <c r="H71" s="350"/>
      <c r="I71" s="351"/>
      <c r="J71" s="123"/>
      <c r="K71" s="123"/>
    </row>
    <row r="72" spans="1:11" s="228" customFormat="1">
      <c r="A72" s="224"/>
      <c r="B72" s="226"/>
      <c r="C72" s="226"/>
      <c r="D72" s="352"/>
      <c r="E72" s="223">
        <v>0</v>
      </c>
      <c r="F72" s="223">
        <v>0</v>
      </c>
      <c r="G72" s="269">
        <f t="shared" si="13"/>
        <v>0</v>
      </c>
      <c r="H72" s="350"/>
      <c r="I72" s="351"/>
      <c r="J72" s="123"/>
      <c r="K72" s="123"/>
    </row>
    <row r="73" spans="1:11" s="228" customFormat="1">
      <c r="A73" s="224"/>
      <c r="B73" s="226"/>
      <c r="C73" s="226"/>
      <c r="D73" s="352"/>
      <c r="E73" s="223">
        <v>0</v>
      </c>
      <c r="F73" s="223">
        <v>0</v>
      </c>
      <c r="G73" s="269">
        <f t="shared" si="13"/>
        <v>0</v>
      </c>
      <c r="H73" s="350"/>
      <c r="I73" s="351"/>
      <c r="J73" s="123"/>
      <c r="K73" s="123"/>
    </row>
    <row r="74" spans="1:11" s="228" customFormat="1">
      <c r="A74" s="78" t="s">
        <v>99</v>
      </c>
      <c r="B74" s="226"/>
      <c r="C74" s="226"/>
      <c r="D74" s="352"/>
      <c r="E74" s="223"/>
      <c r="F74" s="223"/>
      <c r="G74" s="354"/>
      <c r="H74" s="350"/>
      <c r="I74" s="351"/>
      <c r="J74" s="123"/>
      <c r="K74" s="123"/>
    </row>
    <row r="75" spans="1:11" s="228" customFormat="1">
      <c r="A75" s="224" t="s">
        <v>313</v>
      </c>
      <c r="B75" s="226"/>
      <c r="C75" s="226" t="s">
        <v>317</v>
      </c>
      <c r="D75" s="352"/>
      <c r="E75" s="223">
        <v>15000</v>
      </c>
      <c r="F75" s="223">
        <f>3750</f>
        <v>3750</v>
      </c>
      <c r="G75" s="269">
        <f t="shared" ref="G75:G78" si="14">E75-F75</f>
        <v>11250</v>
      </c>
      <c r="H75" s="350"/>
      <c r="I75" s="351"/>
      <c r="J75" s="123"/>
      <c r="K75" s="123"/>
    </row>
    <row r="76" spans="1:11" s="228" customFormat="1">
      <c r="A76" s="224" t="s">
        <v>314</v>
      </c>
      <c r="B76" s="226"/>
      <c r="C76" s="226" t="s">
        <v>318</v>
      </c>
      <c r="D76" s="352"/>
      <c r="E76" s="223">
        <v>15000</v>
      </c>
      <c r="F76" s="223">
        <f>3750</f>
        <v>3750</v>
      </c>
      <c r="G76" s="269">
        <f t="shared" si="14"/>
        <v>11250</v>
      </c>
      <c r="H76" s="350"/>
      <c r="I76" s="351"/>
      <c r="J76" s="123"/>
      <c r="K76" s="123"/>
    </row>
    <row r="77" spans="1:11" s="228" customFormat="1">
      <c r="A77" s="224" t="s">
        <v>296</v>
      </c>
      <c r="B77" s="226"/>
      <c r="C77" s="226" t="s">
        <v>297</v>
      </c>
      <c r="D77" s="352"/>
      <c r="E77" s="223">
        <v>15000</v>
      </c>
      <c r="F77" s="223">
        <f>3750+3750</f>
        <v>7500</v>
      </c>
      <c r="G77" s="269">
        <f t="shared" si="14"/>
        <v>7500</v>
      </c>
      <c r="H77" s="350"/>
      <c r="I77" s="351"/>
      <c r="J77" s="123"/>
      <c r="K77" s="123"/>
    </row>
    <row r="78" spans="1:11" s="228" customFormat="1">
      <c r="A78" s="224" t="s">
        <v>315</v>
      </c>
      <c r="B78" s="226"/>
      <c r="C78" s="226" t="s">
        <v>319</v>
      </c>
      <c r="D78" s="352"/>
      <c r="E78" s="223">
        <v>15000</v>
      </c>
      <c r="F78" s="223">
        <f>7500</f>
        <v>7500</v>
      </c>
      <c r="G78" s="269">
        <f t="shared" si="14"/>
        <v>7500</v>
      </c>
      <c r="H78" s="350"/>
      <c r="I78" s="351"/>
      <c r="J78" s="123"/>
      <c r="K78" s="123"/>
    </row>
    <row r="79" spans="1:11" s="228" customFormat="1">
      <c r="A79" s="224"/>
      <c r="B79" s="226"/>
      <c r="C79" s="226"/>
      <c r="D79" s="352"/>
      <c r="E79" s="223"/>
      <c r="F79" s="223"/>
      <c r="G79" s="269"/>
      <c r="H79" s="350"/>
      <c r="I79" s="351"/>
      <c r="J79" s="123"/>
      <c r="K79" s="123"/>
    </row>
    <row r="80" spans="1:11" s="228" customFormat="1">
      <c r="A80" s="78" t="s">
        <v>100</v>
      </c>
      <c r="B80" s="226"/>
      <c r="C80" s="226"/>
      <c r="D80" s="352"/>
      <c r="E80" s="223"/>
      <c r="F80" s="223"/>
      <c r="G80" s="354"/>
      <c r="H80" s="350"/>
      <c r="I80" s="351"/>
      <c r="J80" s="123"/>
      <c r="K80" s="123"/>
    </row>
    <row r="81" spans="1:11" s="228" customFormat="1">
      <c r="A81" s="224" t="s">
        <v>306</v>
      </c>
      <c r="B81" s="226"/>
      <c r="C81" s="226" t="s">
        <v>308</v>
      </c>
      <c r="D81" s="352"/>
      <c r="E81" s="223">
        <v>15000</v>
      </c>
      <c r="F81" s="223">
        <v>0</v>
      </c>
      <c r="G81" s="269">
        <f t="shared" ref="G81:G83" si="15">E81-F81</f>
        <v>15000</v>
      </c>
      <c r="H81" s="350"/>
      <c r="I81" s="351"/>
      <c r="J81" s="123"/>
      <c r="K81" s="123"/>
    </row>
    <row r="82" spans="1:11" s="228" customFormat="1">
      <c r="A82" s="224" t="s">
        <v>307</v>
      </c>
      <c r="B82" s="226"/>
      <c r="C82" s="226" t="s">
        <v>311</v>
      </c>
      <c r="D82" s="352"/>
      <c r="E82" s="223">
        <v>15000</v>
      </c>
      <c r="F82" s="223">
        <v>0</v>
      </c>
      <c r="G82" s="269">
        <f t="shared" si="15"/>
        <v>15000</v>
      </c>
      <c r="H82" s="350"/>
      <c r="I82" s="351"/>
      <c r="J82" s="123"/>
      <c r="K82" s="123"/>
    </row>
    <row r="83" spans="1:11" s="228" customFormat="1">
      <c r="A83" s="224"/>
      <c r="B83" s="226"/>
      <c r="C83" s="226"/>
      <c r="D83" s="352"/>
      <c r="E83" s="223">
        <v>0</v>
      </c>
      <c r="F83" s="223">
        <v>0</v>
      </c>
      <c r="G83" s="269">
        <f t="shared" si="15"/>
        <v>0</v>
      </c>
      <c r="H83" s="350"/>
      <c r="I83" s="351"/>
      <c r="J83" s="123"/>
      <c r="K83" s="123"/>
    </row>
    <row r="84" spans="1:11" s="16" customFormat="1">
      <c r="A84" s="222"/>
      <c r="B84" s="218"/>
      <c r="C84" s="266" t="s">
        <v>305</v>
      </c>
      <c r="D84" s="77"/>
      <c r="E84" s="114">
        <f>SUM(E68:E83)</f>
        <v>93000</v>
      </c>
      <c r="F84" s="114">
        <f>SUM(F68:F83)</f>
        <v>25500</v>
      </c>
      <c r="G84" s="346">
        <f>SUM(G68:G83)</f>
        <v>67500</v>
      </c>
      <c r="H84" s="252"/>
      <c r="I84" s="156"/>
      <c r="J84" s="122"/>
      <c r="K84" s="122"/>
    </row>
    <row r="85" spans="1:11" s="16" customFormat="1">
      <c r="A85" s="225"/>
      <c r="B85" s="226"/>
      <c r="C85" s="349"/>
      <c r="D85" s="349"/>
      <c r="E85" s="349"/>
      <c r="F85" s="349"/>
      <c r="G85" s="349"/>
      <c r="H85" s="252"/>
      <c r="I85" s="127"/>
      <c r="J85" s="122"/>
      <c r="K85" s="122"/>
    </row>
    <row r="86" spans="1:11" ht="15.75">
      <c r="A86" s="82"/>
      <c r="B86" s="83"/>
      <c r="C86" s="334" t="s">
        <v>199</v>
      </c>
      <c r="D86" s="335"/>
      <c r="E86" s="336">
        <f>E9+E24+E35+E65+E84</f>
        <v>466800</v>
      </c>
      <c r="F86" s="336">
        <f>F9+F24+F35+F65+F84</f>
        <v>316800</v>
      </c>
      <c r="G86" s="336">
        <f>G9+G24+G35+G65+G84</f>
        <v>138750</v>
      </c>
      <c r="H86" s="244"/>
    </row>
    <row r="87" spans="1:11" ht="15.75">
      <c r="A87" s="82"/>
      <c r="B87" s="83"/>
      <c r="C87" s="181"/>
      <c r="D87" s="142"/>
      <c r="E87" s="140"/>
      <c r="F87" s="158"/>
      <c r="G87" s="333"/>
    </row>
    <row r="88" spans="1:11" s="365" customFormat="1">
      <c r="A88" s="230"/>
      <c r="B88" s="16"/>
      <c r="C88" s="16" t="s">
        <v>280</v>
      </c>
      <c r="D88" s="75"/>
      <c r="E88" s="118">
        <v>320000</v>
      </c>
      <c r="F88" s="159"/>
      <c r="G88" s="193"/>
      <c r="H88" s="145"/>
      <c r="I88" s="127"/>
      <c r="J88" s="122"/>
      <c r="K88" s="122"/>
    </row>
    <row r="89" spans="1:11" s="365" customFormat="1" ht="18">
      <c r="A89" s="230"/>
      <c r="B89" s="16"/>
      <c r="C89" s="16" t="s">
        <v>281</v>
      </c>
      <c r="D89" s="75"/>
      <c r="E89" s="118">
        <f>-15000-3000-15000-15000-15000-15000-15000</f>
        <v>-93000</v>
      </c>
      <c r="F89" s="366"/>
      <c r="G89" s="193"/>
      <c r="H89" s="145"/>
      <c r="I89" s="127"/>
      <c r="J89" s="122"/>
      <c r="K89" s="122"/>
    </row>
    <row r="90" spans="1:11" s="365" customFormat="1">
      <c r="A90" s="230"/>
      <c r="B90" s="16"/>
      <c r="C90" s="16" t="s">
        <v>282</v>
      </c>
      <c r="D90" s="75"/>
      <c r="E90" s="160">
        <f>SUM(E88:E89)</f>
        <v>227000</v>
      </c>
      <c r="F90" s="159"/>
      <c r="G90" s="193"/>
      <c r="H90" s="145"/>
      <c r="I90" s="127"/>
      <c r="J90" s="122"/>
      <c r="K90" s="122"/>
    </row>
    <row r="91" spans="1:11">
      <c r="A91" s="230"/>
      <c r="B91" s="16"/>
      <c r="C91" s="75"/>
      <c r="D91" s="75"/>
      <c r="E91" s="133"/>
      <c r="F91" s="159"/>
      <c r="G91" s="193"/>
    </row>
    <row r="92" spans="1:11">
      <c r="A92" s="16"/>
      <c r="B92" s="16"/>
      <c r="C92" s="231"/>
      <c r="D92" s="219"/>
      <c r="E92" s="219"/>
      <c r="F92" s="219"/>
    </row>
    <row r="93" spans="1:11">
      <c r="A93" s="16"/>
      <c r="B93" s="16"/>
      <c r="C93" s="16" t="s">
        <v>283</v>
      </c>
      <c r="E93" s="326" t="s">
        <v>94</v>
      </c>
      <c r="F93" s="389" t="s">
        <v>285</v>
      </c>
      <c r="I93" s="177"/>
    </row>
    <row r="94" spans="1:11">
      <c r="A94" s="16"/>
      <c r="B94" s="16"/>
      <c r="C94"/>
      <c r="E94" s="327" t="s">
        <v>178</v>
      </c>
      <c r="F94" s="326" t="s">
        <v>21</v>
      </c>
    </row>
    <row r="95" spans="1:11">
      <c r="A95" s="16"/>
      <c r="B95" s="16"/>
      <c r="C95" t="s">
        <v>121</v>
      </c>
      <c r="E95" s="7">
        <v>3000</v>
      </c>
      <c r="F95" s="7">
        <v>80000</v>
      </c>
      <c r="G95" s="347">
        <v>0.04</v>
      </c>
    </row>
    <row r="96" spans="1:11">
      <c r="A96" s="16"/>
      <c r="B96" s="16"/>
      <c r="C96" t="s">
        <v>120</v>
      </c>
      <c r="E96" s="7">
        <v>0</v>
      </c>
      <c r="F96" s="7">
        <v>80000</v>
      </c>
      <c r="G96" s="347">
        <v>0</v>
      </c>
    </row>
    <row r="97" spans="1:7">
      <c r="A97" s="16"/>
      <c r="B97" s="16"/>
      <c r="C97" t="s">
        <v>122</v>
      </c>
      <c r="E97" s="7">
        <v>60000</v>
      </c>
      <c r="F97" s="7">
        <v>80000</v>
      </c>
      <c r="G97" s="347">
        <v>0.75</v>
      </c>
    </row>
    <row r="98" spans="1:7">
      <c r="A98" s="16"/>
      <c r="B98" s="16"/>
      <c r="C98" t="s">
        <v>123</v>
      </c>
      <c r="E98" s="7">
        <v>30000</v>
      </c>
      <c r="F98" s="7">
        <v>80000</v>
      </c>
      <c r="G98" s="347">
        <v>0.38</v>
      </c>
    </row>
    <row r="99" spans="1:7" ht="13.5" thickBot="1">
      <c r="A99" s="16"/>
      <c r="B99" s="16"/>
      <c r="C99" s="16" t="s">
        <v>284</v>
      </c>
      <c r="E99" s="313">
        <f>SUM(E95:E98)</f>
        <v>93000</v>
      </c>
      <c r="F99" s="313">
        <f>SUM(F95:F98)</f>
        <v>320000</v>
      </c>
      <c r="G99" s="347">
        <v>0.28999999999999998</v>
      </c>
    </row>
    <row r="100" spans="1:7" ht="13.5" thickTop="1">
      <c r="A100" s="16"/>
      <c r="B100" s="16"/>
      <c r="C100"/>
    </row>
    <row r="101" spans="1:7">
      <c r="A101" s="16"/>
      <c r="B101" s="16"/>
      <c r="C101" s="231"/>
      <c r="D101" s="219"/>
      <c r="E101" s="219"/>
      <c r="F101" s="219"/>
    </row>
    <row r="102" spans="1:7">
      <c r="A102" s="90"/>
      <c r="D102" s="86"/>
      <c r="E102" s="7"/>
      <c r="F102" s="7"/>
      <c r="G102" s="16" t="s">
        <v>101</v>
      </c>
    </row>
    <row r="103" spans="1:7">
      <c r="A103" s="90"/>
      <c r="C103" s="8"/>
      <c r="D103" s="8"/>
      <c r="E103" s="9"/>
      <c r="F103" s="9"/>
    </row>
    <row r="104" spans="1:7">
      <c r="A104" s="90"/>
      <c r="C104" s="8"/>
      <c r="D104" s="8"/>
      <c r="E104" s="9"/>
      <c r="F104" s="9"/>
    </row>
    <row r="105" spans="1:7">
      <c r="A105" s="84"/>
      <c r="C105" s="8"/>
      <c r="D105" s="88"/>
      <c r="E105" s="9"/>
      <c r="F105" s="9"/>
    </row>
    <row r="106" spans="1:7">
      <c r="A106" s="89"/>
      <c r="D106" s="91"/>
      <c r="E106" s="7"/>
      <c r="F106" s="7"/>
    </row>
    <row r="107" spans="1:7">
      <c r="A107" s="89"/>
      <c r="D107" s="91"/>
      <c r="E107" s="7"/>
      <c r="F107" s="7"/>
    </row>
    <row r="108" spans="1:7">
      <c r="A108" s="89"/>
      <c r="D108" s="91"/>
      <c r="E108" s="7"/>
      <c r="F108" s="7"/>
    </row>
    <row r="109" spans="1:7">
      <c r="A109" s="89"/>
      <c r="D109" s="91"/>
      <c r="E109" s="7"/>
      <c r="F109" s="7"/>
    </row>
    <row r="110" spans="1:7">
      <c r="A110" s="89"/>
      <c r="D110" s="91"/>
      <c r="E110" s="7"/>
      <c r="F110" s="7"/>
    </row>
    <row r="111" spans="1:7">
      <c r="A111" s="89"/>
      <c r="D111" s="91"/>
      <c r="E111" s="7"/>
      <c r="F111" s="7"/>
    </row>
    <row r="112" spans="1:7">
      <c r="A112" s="90"/>
      <c r="D112" s="91"/>
      <c r="E112" s="7"/>
      <c r="F112" s="7"/>
    </row>
    <row r="113" spans="1:6">
      <c r="A113" s="90"/>
      <c r="C113" s="8"/>
      <c r="D113" s="8"/>
      <c r="E113" s="9"/>
      <c r="F113" s="9"/>
    </row>
    <row r="114" spans="1:6">
      <c r="A114" s="90"/>
      <c r="C114" s="8"/>
      <c r="D114" s="8"/>
      <c r="E114" s="9"/>
      <c r="F114" s="9"/>
    </row>
    <row r="115" spans="1:6">
      <c r="A115" s="90"/>
      <c r="C115" s="8"/>
      <c r="D115" s="8"/>
      <c r="E115" s="9"/>
      <c r="F115" s="9"/>
    </row>
    <row r="116" spans="1:6">
      <c r="A116" s="90"/>
      <c r="C116" s="8"/>
      <c r="D116" s="8"/>
      <c r="E116" s="9"/>
      <c r="F116" s="9"/>
    </row>
    <row r="117" spans="1:6">
      <c r="A117" s="90"/>
      <c r="C117" s="8"/>
      <c r="D117" s="8"/>
      <c r="E117" s="9"/>
      <c r="F117" s="9"/>
    </row>
    <row r="118" spans="1:6">
      <c r="A118" s="92"/>
      <c r="C118" s="8"/>
      <c r="D118" s="8"/>
      <c r="E118" s="9"/>
      <c r="F118" s="9"/>
    </row>
    <row r="119" spans="1:6">
      <c r="A119" s="90"/>
      <c r="C119" s="8"/>
      <c r="D119" s="8"/>
      <c r="E119" s="9"/>
      <c r="F119" s="9"/>
    </row>
    <row r="120" spans="1:6">
      <c r="A120" s="90"/>
      <c r="C120" s="8"/>
      <c r="D120" s="8"/>
      <c r="E120" s="9"/>
      <c r="F120" s="9"/>
    </row>
    <row r="121" spans="1:6">
      <c r="A121" s="90"/>
      <c r="C121" s="8"/>
      <c r="D121" s="8"/>
      <c r="E121" s="9"/>
      <c r="F121" s="9"/>
    </row>
    <row r="122" spans="1:6">
      <c r="A122" s="90"/>
      <c r="C122" s="8"/>
      <c r="D122" s="8"/>
      <c r="E122" s="9"/>
      <c r="F122" s="9"/>
    </row>
    <row r="123" spans="1:6">
      <c r="A123" s="90"/>
      <c r="C123" s="8"/>
      <c r="D123" s="8"/>
      <c r="E123" s="9"/>
      <c r="F123" s="9"/>
    </row>
    <row r="124" spans="1:6">
      <c r="A124" s="90"/>
      <c r="C124" s="8"/>
      <c r="D124" s="8"/>
      <c r="E124" s="9"/>
      <c r="F124" s="9"/>
    </row>
    <row r="125" spans="1:6">
      <c r="A125" s="90"/>
      <c r="C125" s="8"/>
      <c r="D125" s="8"/>
      <c r="E125" s="9"/>
      <c r="F125" s="9"/>
    </row>
    <row r="126" spans="1:6">
      <c r="A126" s="90"/>
      <c r="C126" s="8"/>
      <c r="D126" s="8"/>
      <c r="E126" s="9"/>
      <c r="F126" s="9"/>
    </row>
    <row r="127" spans="1:6">
      <c r="A127" s="90"/>
      <c r="C127" s="8"/>
      <c r="D127" s="8"/>
      <c r="E127" s="9"/>
      <c r="F127" s="9"/>
    </row>
    <row r="128" spans="1:6">
      <c r="A128" s="84"/>
      <c r="B128" s="8"/>
      <c r="C128" s="183"/>
      <c r="E128" s="85"/>
      <c r="F128" s="85"/>
    </row>
    <row r="129" spans="1:8">
      <c r="A129" s="84"/>
      <c r="B129" s="8"/>
      <c r="C129" s="183"/>
      <c r="E129" s="85"/>
      <c r="F129" s="85"/>
    </row>
    <row r="130" spans="1:8">
      <c r="A130" s="84"/>
      <c r="B130" s="8"/>
      <c r="C130" s="183"/>
      <c r="E130" s="85"/>
      <c r="F130" s="85"/>
    </row>
    <row r="131" spans="1:8">
      <c r="A131" s="84"/>
      <c r="B131" s="8"/>
      <c r="C131" s="183"/>
      <c r="E131" s="85"/>
      <c r="F131" s="85"/>
    </row>
    <row r="132" spans="1:8">
      <c r="A132" s="84"/>
      <c r="B132" s="8"/>
      <c r="C132" s="8"/>
      <c r="E132" s="9"/>
      <c r="F132" s="9"/>
    </row>
    <row r="133" spans="1:8">
      <c r="A133" s="93"/>
      <c r="B133" s="8"/>
      <c r="C133" s="6"/>
      <c r="E133" s="87"/>
      <c r="F133" s="87"/>
    </row>
    <row r="135" spans="1:8">
      <c r="A135" s="84"/>
      <c r="C135" s="8"/>
      <c r="D135" s="88"/>
      <c r="E135" s="9"/>
      <c r="F135" s="9"/>
    </row>
    <row r="136" spans="1:8">
      <c r="A136" s="89"/>
      <c r="D136" s="91"/>
      <c r="E136" s="7"/>
      <c r="F136" s="7"/>
    </row>
    <row r="137" spans="1:8">
      <c r="A137" s="89"/>
      <c r="D137" s="91"/>
      <c r="E137" s="7"/>
      <c r="F137" s="7"/>
    </row>
    <row r="138" spans="1:8">
      <c r="A138" s="89"/>
      <c r="D138" s="91"/>
      <c r="E138" s="7"/>
      <c r="F138" s="7"/>
      <c r="H138" s="157"/>
    </row>
    <row r="139" spans="1:8">
      <c r="A139" s="89"/>
      <c r="D139" s="91"/>
      <c r="E139" s="7"/>
      <c r="F139" s="7"/>
      <c r="H139" s="157"/>
    </row>
    <row r="140" spans="1:8">
      <c r="A140" s="89"/>
      <c r="D140" s="91"/>
      <c r="E140" s="7"/>
      <c r="F140" s="7"/>
      <c r="H140" s="157"/>
    </row>
    <row r="141" spans="1:8">
      <c r="A141" s="89"/>
      <c r="D141" s="91"/>
      <c r="E141" s="7"/>
      <c r="F141" s="7"/>
      <c r="H141" s="157"/>
    </row>
    <row r="142" spans="1:8">
      <c r="A142" s="89"/>
      <c r="D142" s="91"/>
      <c r="E142" s="7"/>
      <c r="F142" s="7"/>
      <c r="H142" s="157"/>
    </row>
    <row r="143" spans="1:8">
      <c r="A143" s="89"/>
      <c r="D143" s="91"/>
      <c r="E143" s="7"/>
      <c r="F143" s="7"/>
      <c r="H143" s="157"/>
    </row>
    <row r="144" spans="1:8">
      <c r="A144" s="89"/>
      <c r="D144" s="91"/>
      <c r="E144" s="7"/>
      <c r="F144" s="7"/>
      <c r="H144" s="157"/>
    </row>
    <row r="145" spans="1:8">
      <c r="A145" s="89"/>
      <c r="D145" s="91"/>
      <c r="E145" s="7"/>
      <c r="F145" s="7"/>
      <c r="H145" s="157"/>
    </row>
    <row r="146" spans="1:8">
      <c r="A146" s="89"/>
      <c r="D146" s="91"/>
      <c r="E146" s="7"/>
      <c r="F146" s="7"/>
      <c r="H146" s="157"/>
    </row>
    <row r="147" spans="1:8">
      <c r="A147" s="89"/>
      <c r="D147" s="91"/>
      <c r="E147" s="7"/>
      <c r="F147" s="7"/>
      <c r="H147" s="157"/>
    </row>
    <row r="148" spans="1:8">
      <c r="A148" s="89"/>
      <c r="D148" s="91"/>
      <c r="E148" s="7"/>
      <c r="F148" s="7"/>
      <c r="H148" s="157"/>
    </row>
    <row r="149" spans="1:8">
      <c r="A149" s="89"/>
      <c r="D149" s="91"/>
      <c r="E149" s="7"/>
      <c r="F149" s="7"/>
      <c r="H149" s="157"/>
    </row>
    <row r="150" spans="1:8">
      <c r="A150" s="90"/>
      <c r="C150" s="8"/>
      <c r="D150" s="8"/>
      <c r="E150" s="9"/>
      <c r="F150" s="9"/>
    </row>
    <row r="151" spans="1:8">
      <c r="A151" s="90"/>
      <c r="C151" s="8"/>
      <c r="D151" s="8"/>
      <c r="E151" s="9"/>
      <c r="F151" s="9"/>
    </row>
    <row r="152" spans="1:8">
      <c r="A152" s="84"/>
      <c r="C152" s="8"/>
      <c r="D152" s="8"/>
      <c r="E152" s="9"/>
      <c r="F152" s="9"/>
    </row>
    <row r="153" spans="1:8">
      <c r="A153" s="94"/>
      <c r="B153" s="38"/>
      <c r="C153" s="50"/>
      <c r="D153" s="50"/>
      <c r="E153" s="10"/>
      <c r="F153" s="10"/>
    </row>
    <row r="154" spans="1:8">
      <c r="A154" s="94"/>
      <c r="B154" s="38"/>
      <c r="C154" s="50"/>
      <c r="D154" s="50"/>
      <c r="E154" s="10"/>
      <c r="F154" s="10"/>
    </row>
    <row r="155" spans="1:8">
      <c r="A155" s="94"/>
      <c r="B155" s="38"/>
      <c r="C155" s="50"/>
      <c r="D155" s="50"/>
      <c r="E155" s="10"/>
      <c r="F155" s="10"/>
    </row>
    <row r="156" spans="1:8">
      <c r="A156" s="94"/>
      <c r="B156" s="38"/>
      <c r="C156" s="50"/>
      <c r="D156" s="50"/>
      <c r="E156" s="10"/>
      <c r="F156" s="10"/>
    </row>
    <row r="157" spans="1:8">
      <c r="A157" s="94"/>
      <c r="B157" s="38"/>
      <c r="C157" s="50"/>
      <c r="D157" s="50"/>
      <c r="E157" s="10"/>
      <c r="F157" s="10"/>
    </row>
    <row r="158" spans="1:8">
      <c r="A158" s="94"/>
      <c r="B158" s="38"/>
      <c r="C158" s="50"/>
      <c r="D158" s="50"/>
      <c r="E158" s="10"/>
      <c r="F158" s="10"/>
    </row>
    <row r="159" spans="1:8">
      <c r="A159" s="94"/>
      <c r="B159" s="38"/>
      <c r="C159" s="8"/>
      <c r="D159" s="8"/>
      <c r="E159" s="9"/>
      <c r="F159" s="9"/>
    </row>
    <row r="160" spans="1:8">
      <c r="A160" s="94"/>
      <c r="B160" s="38"/>
      <c r="C160" s="50"/>
      <c r="D160" s="50"/>
      <c r="E160" s="10"/>
      <c r="F160" s="10"/>
    </row>
    <row r="161" spans="1:6">
      <c r="A161" s="94"/>
      <c r="B161" s="38"/>
      <c r="C161" s="50"/>
      <c r="D161" s="50"/>
      <c r="E161" s="10"/>
      <c r="F161" s="10"/>
    </row>
    <row r="162" spans="1:6">
      <c r="A162" s="94"/>
      <c r="B162" s="38"/>
      <c r="C162" s="50"/>
      <c r="D162" s="50"/>
      <c r="E162" s="10"/>
      <c r="F162" s="10"/>
    </row>
    <row r="163" spans="1:6">
      <c r="A163" s="94"/>
      <c r="B163" s="38"/>
      <c r="C163" s="50"/>
      <c r="D163" s="50"/>
      <c r="E163" s="10"/>
      <c r="F163" s="10"/>
    </row>
    <row r="164" spans="1:6">
      <c r="A164" s="94"/>
      <c r="B164" s="38"/>
      <c r="C164" s="50"/>
      <c r="D164" s="50"/>
      <c r="E164" s="10"/>
      <c r="F164" s="10"/>
    </row>
    <row r="165" spans="1:6">
      <c r="A165" s="90"/>
      <c r="C165" s="8"/>
      <c r="D165" s="8"/>
      <c r="E165" s="9"/>
      <c r="F165" s="9"/>
    </row>
    <row r="166" spans="1:6">
      <c r="A166" s="90"/>
      <c r="C166" s="8"/>
      <c r="D166" s="8"/>
      <c r="E166" s="9"/>
      <c r="F166" s="9"/>
    </row>
    <row r="167" spans="1:6">
      <c r="A167" s="90"/>
      <c r="C167" s="8"/>
      <c r="D167" s="8"/>
      <c r="E167" s="9"/>
      <c r="F167" s="9"/>
    </row>
    <row r="168" spans="1:6">
      <c r="A168" s="90"/>
      <c r="C168" s="8"/>
      <c r="D168" s="8"/>
      <c r="E168" s="9"/>
      <c r="F168" s="9"/>
    </row>
    <row r="169" spans="1:6">
      <c r="A169" s="90"/>
      <c r="C169" s="8"/>
      <c r="D169" s="88"/>
      <c r="E169" s="9"/>
      <c r="F169" s="9"/>
    </row>
    <row r="170" spans="1:6">
      <c r="A170" s="90"/>
      <c r="C170" s="8"/>
      <c r="D170" s="88"/>
      <c r="E170" s="9"/>
      <c r="F170" s="9"/>
    </row>
    <row r="171" spans="1:6">
      <c r="A171" s="90"/>
      <c r="C171" s="8"/>
      <c r="D171" s="88"/>
      <c r="E171" s="9"/>
      <c r="F171" s="9"/>
    </row>
    <row r="172" spans="1:6">
      <c r="A172" s="90"/>
      <c r="C172" s="8"/>
      <c r="D172" s="88"/>
      <c r="E172" s="9"/>
      <c r="F172" s="9"/>
    </row>
    <row r="173" spans="1:6">
      <c r="A173" s="90"/>
      <c r="C173" s="8"/>
      <c r="D173" s="88"/>
      <c r="E173" s="9"/>
      <c r="F173" s="9"/>
    </row>
    <row r="174" spans="1:6">
      <c r="A174" s="90"/>
      <c r="F174" s="9"/>
    </row>
    <row r="175" spans="1:6">
      <c r="A175" s="92"/>
      <c r="F175" s="9"/>
    </row>
    <row r="176" spans="1:6">
      <c r="A176" s="92"/>
      <c r="F176" s="9"/>
    </row>
    <row r="177" spans="1:6">
      <c r="A177" s="92"/>
      <c r="F177" s="9"/>
    </row>
    <row r="178" spans="1:6">
      <c r="A178" s="92"/>
      <c r="F178" s="9"/>
    </row>
    <row r="179" spans="1:6">
      <c r="A179" s="92"/>
      <c r="F179" s="9"/>
    </row>
    <row r="180" spans="1:6">
      <c r="A180" s="92"/>
      <c r="F180" s="9"/>
    </row>
    <row r="181" spans="1:6">
      <c r="A181" s="92"/>
      <c r="F181" s="9"/>
    </row>
    <row r="182" spans="1:6">
      <c r="A182" s="92"/>
      <c r="F182" s="9"/>
    </row>
    <row r="183" spans="1:6">
      <c r="A183" s="92"/>
      <c r="F183" s="9"/>
    </row>
    <row r="184" spans="1:6">
      <c r="A184" s="92"/>
      <c r="F184" s="9"/>
    </row>
    <row r="185" spans="1:6">
      <c r="A185" s="84"/>
      <c r="B185" s="8"/>
      <c r="C185" s="183"/>
      <c r="E185" s="85"/>
      <c r="F185" s="85"/>
    </row>
    <row r="186" spans="1:6">
      <c r="A186" s="84"/>
      <c r="B186" s="8"/>
      <c r="C186" s="183"/>
      <c r="E186" s="85"/>
      <c r="F186" s="85"/>
    </row>
    <row r="187" spans="1:6">
      <c r="A187" s="84"/>
      <c r="B187" s="8"/>
      <c r="C187" s="183"/>
      <c r="E187" s="85"/>
      <c r="F187" s="85"/>
    </row>
    <row r="188" spans="1:6">
      <c r="A188" s="84"/>
      <c r="B188" s="8"/>
      <c r="C188" s="183"/>
      <c r="E188" s="85"/>
      <c r="F188" s="85"/>
    </row>
    <row r="189" spans="1:6">
      <c r="A189" s="84"/>
      <c r="B189" s="8"/>
      <c r="C189" s="8"/>
      <c r="E189" s="9"/>
      <c r="F189" s="9"/>
    </row>
    <row r="190" spans="1:6">
      <c r="A190" s="84"/>
      <c r="B190" s="8"/>
      <c r="C190" s="8"/>
      <c r="D190" s="6"/>
      <c r="E190" s="9"/>
      <c r="F190" s="9"/>
    </row>
    <row r="191" spans="1:6">
      <c r="A191" s="84"/>
      <c r="B191" s="8"/>
      <c r="C191" s="6"/>
      <c r="D191" s="8"/>
      <c r="E191" s="87"/>
      <c r="F191" s="87"/>
    </row>
    <row r="192" spans="1:6">
      <c r="A192" s="84"/>
      <c r="B192" s="8"/>
      <c r="C192" s="6"/>
      <c r="D192" s="87"/>
      <c r="E192" s="87"/>
      <c r="F192" s="87"/>
    </row>
    <row r="193" spans="1:6">
      <c r="A193" s="84"/>
      <c r="C193" s="8"/>
      <c r="D193" s="8"/>
      <c r="E193" s="9"/>
      <c r="F193" s="9"/>
    </row>
    <row r="194" spans="1:6">
      <c r="A194" s="84"/>
      <c r="C194" s="8"/>
      <c r="D194" s="8"/>
      <c r="E194" s="9"/>
      <c r="F194" s="9"/>
    </row>
    <row r="195" spans="1:6">
      <c r="A195" s="84"/>
      <c r="C195" s="8"/>
      <c r="D195" s="8"/>
      <c r="E195" s="9"/>
      <c r="F195" s="9"/>
    </row>
    <row r="196" spans="1:6">
      <c r="A196" s="84"/>
      <c r="C196" s="8"/>
      <c r="D196" s="8"/>
      <c r="E196" s="9"/>
      <c r="F196" s="9"/>
    </row>
    <row r="197" spans="1:6">
      <c r="A197" s="84"/>
      <c r="C197" s="8"/>
      <c r="D197" s="8"/>
      <c r="E197" s="9"/>
      <c r="F197" s="9"/>
    </row>
    <row r="198" spans="1:6">
      <c r="A198" s="84"/>
      <c r="C198" s="8"/>
      <c r="D198" s="8"/>
      <c r="E198" s="9"/>
      <c r="F198" s="9"/>
    </row>
    <row r="199" spans="1:6">
      <c r="A199" s="84"/>
      <c r="C199" s="8"/>
      <c r="D199" s="8"/>
      <c r="E199" s="9"/>
      <c r="F199" s="9"/>
    </row>
    <row r="200" spans="1:6">
      <c r="A200" s="84"/>
      <c r="C200" s="8"/>
      <c r="D200" s="8"/>
      <c r="E200" s="9"/>
      <c r="F200" s="9"/>
    </row>
    <row r="201" spans="1:6">
      <c r="A201" s="84"/>
      <c r="C201" s="8"/>
      <c r="D201" s="8"/>
      <c r="E201" s="9"/>
      <c r="F201" s="9"/>
    </row>
    <row r="202" spans="1:6">
      <c r="A202" s="84"/>
      <c r="C202" s="8"/>
      <c r="D202" s="8"/>
      <c r="E202" s="9"/>
      <c r="F202" s="9"/>
    </row>
    <row r="203" spans="1:6">
      <c r="A203" s="84"/>
      <c r="C203" s="8"/>
      <c r="D203" s="8"/>
      <c r="E203" s="9"/>
      <c r="F203" s="9"/>
    </row>
    <row r="204" spans="1:6">
      <c r="A204" s="84"/>
      <c r="D204" s="86"/>
      <c r="E204" s="7"/>
      <c r="F204" s="7"/>
    </row>
    <row r="205" spans="1:6">
      <c r="D205" s="86"/>
      <c r="E205" s="7"/>
      <c r="F205" s="7"/>
    </row>
    <row r="206" spans="1:6">
      <c r="A206" s="90"/>
      <c r="D206" s="86"/>
      <c r="E206" s="7"/>
      <c r="F206" s="7"/>
    </row>
    <row r="207" spans="1:6">
      <c r="A207" s="90"/>
      <c r="D207" s="86"/>
      <c r="E207" s="7"/>
      <c r="F207" s="86"/>
    </row>
    <row r="208" spans="1:6">
      <c r="A208" s="90"/>
      <c r="D208" s="86"/>
      <c r="E208" s="7"/>
      <c r="F208" s="86"/>
    </row>
    <row r="209" spans="1:6">
      <c r="A209" s="90"/>
      <c r="D209" s="86"/>
      <c r="E209" s="7"/>
      <c r="F209" s="86"/>
    </row>
    <row r="210" spans="1:6">
      <c r="A210" s="90"/>
      <c r="D210" s="86"/>
      <c r="E210" s="7"/>
      <c r="F210" s="86"/>
    </row>
    <row r="211" spans="1:6">
      <c r="A211" s="90"/>
      <c r="C211" s="8"/>
      <c r="D211" s="8"/>
      <c r="E211" s="9"/>
      <c r="F211" s="86"/>
    </row>
    <row r="212" spans="1:6">
      <c r="A212" s="90"/>
      <c r="C212" s="8"/>
      <c r="D212" s="8"/>
      <c r="E212" s="9"/>
      <c r="F212" s="86"/>
    </row>
    <row r="213" spans="1:6">
      <c r="A213" s="90"/>
      <c r="C213" s="8"/>
      <c r="D213" s="8"/>
      <c r="E213" s="9"/>
      <c r="F213" s="86"/>
    </row>
    <row r="214" spans="1:6">
      <c r="A214" s="90"/>
      <c r="D214" s="86"/>
      <c r="E214" s="7"/>
      <c r="F214" s="7"/>
    </row>
    <row r="215" spans="1:6">
      <c r="A215" s="90"/>
      <c r="D215" s="86"/>
      <c r="E215" s="7"/>
      <c r="F215" s="7"/>
    </row>
    <row r="216" spans="1:6">
      <c r="A216" s="90"/>
      <c r="D216" s="86"/>
      <c r="E216" s="7"/>
      <c r="F216" s="7"/>
    </row>
    <row r="217" spans="1:6">
      <c r="A217" s="90"/>
      <c r="D217" s="86"/>
      <c r="E217" s="7"/>
      <c r="F217" s="7"/>
    </row>
    <row r="218" spans="1:6">
      <c r="A218" s="90"/>
      <c r="D218" s="86"/>
      <c r="E218" s="7"/>
      <c r="F218" s="7"/>
    </row>
    <row r="219" spans="1:6">
      <c r="A219" s="90"/>
      <c r="D219" s="86"/>
      <c r="E219" s="7"/>
      <c r="F219" s="7"/>
    </row>
    <row r="220" spans="1:6">
      <c r="A220" s="90"/>
      <c r="D220" s="8"/>
      <c r="E220" s="9"/>
      <c r="F220" s="7"/>
    </row>
    <row r="221" spans="1:6">
      <c r="A221" s="90"/>
      <c r="D221" s="86"/>
      <c r="E221" s="7"/>
      <c r="F221" s="7"/>
    </row>
    <row r="222" spans="1:6">
      <c r="A222" s="90"/>
      <c r="D222" s="86"/>
      <c r="E222" s="7"/>
      <c r="F222" s="7"/>
    </row>
    <row r="223" spans="1:6">
      <c r="A223" s="90"/>
      <c r="D223" s="86"/>
      <c r="E223" s="7"/>
      <c r="F223" s="7"/>
    </row>
    <row r="224" spans="1:6">
      <c r="A224" s="90"/>
      <c r="D224" s="86"/>
      <c r="E224" s="7"/>
      <c r="F224" s="7"/>
    </row>
    <row r="225" spans="1:6">
      <c r="A225" s="90"/>
      <c r="D225" s="86"/>
      <c r="E225" s="7"/>
      <c r="F225" s="7"/>
    </row>
    <row r="226" spans="1:6">
      <c r="A226" s="90"/>
      <c r="D226" s="86"/>
      <c r="E226" s="7"/>
      <c r="F226" s="7"/>
    </row>
    <row r="227" spans="1:6">
      <c r="A227" s="90"/>
      <c r="D227" s="86"/>
      <c r="E227" s="7"/>
      <c r="F227" s="7"/>
    </row>
    <row r="228" spans="1:6">
      <c r="A228" s="90"/>
      <c r="D228" s="86"/>
      <c r="E228" s="7"/>
      <c r="F228" s="7"/>
    </row>
    <row r="229" spans="1:6">
      <c r="A229" s="90"/>
      <c r="D229" s="86"/>
      <c r="E229" s="7"/>
      <c r="F229" s="7"/>
    </row>
    <row r="230" spans="1:6">
      <c r="A230" s="90"/>
      <c r="D230" s="86"/>
      <c r="E230" s="7"/>
      <c r="F230" s="7"/>
    </row>
    <row r="231" spans="1:6">
      <c r="A231" s="90"/>
      <c r="D231" s="86"/>
      <c r="E231" s="7"/>
      <c r="F231" s="7"/>
    </row>
    <row r="232" spans="1:6">
      <c r="A232" s="90"/>
      <c r="D232" s="86"/>
      <c r="E232" s="7"/>
      <c r="F232" s="7"/>
    </row>
    <row r="233" spans="1:6">
      <c r="A233" s="90"/>
      <c r="D233" s="86"/>
      <c r="E233" s="7"/>
      <c r="F233" s="7"/>
    </row>
    <row r="234" spans="1:6">
      <c r="A234" s="90"/>
      <c r="D234" s="86"/>
      <c r="E234" s="7"/>
      <c r="F234" s="7"/>
    </row>
    <row r="235" spans="1:6">
      <c r="A235" s="90"/>
      <c r="D235" s="86"/>
      <c r="E235" s="7"/>
      <c r="F235" s="7"/>
    </row>
    <row r="236" spans="1:6">
      <c r="A236" s="90"/>
      <c r="D236" s="86"/>
      <c r="E236" s="7"/>
      <c r="F236" s="7"/>
    </row>
    <row r="237" spans="1:6">
      <c r="A237" s="90"/>
      <c r="D237" s="86"/>
      <c r="E237" s="7"/>
      <c r="F237" s="7"/>
    </row>
    <row r="238" spans="1:6">
      <c r="A238" s="90"/>
      <c r="D238" s="86"/>
      <c r="E238" s="7"/>
      <c r="F238" s="7"/>
    </row>
    <row r="239" spans="1:6">
      <c r="A239" s="90"/>
      <c r="D239" s="86"/>
      <c r="E239" s="7"/>
      <c r="F239" s="7"/>
    </row>
    <row r="240" spans="1:6">
      <c r="A240" s="90"/>
      <c r="D240" s="86"/>
      <c r="E240" s="7"/>
      <c r="F240" s="7"/>
    </row>
    <row r="241" spans="1:6">
      <c r="A241" s="90"/>
      <c r="D241" s="86"/>
      <c r="E241" s="7"/>
      <c r="F241" s="7"/>
    </row>
  </sheetData>
  <mergeCells count="7">
    <mergeCell ref="A42:G42"/>
    <mergeCell ref="A43:G43"/>
    <mergeCell ref="A44:G44"/>
    <mergeCell ref="C5:F5"/>
    <mergeCell ref="A2:G2"/>
    <mergeCell ref="A3:G3"/>
    <mergeCell ref="A4:G4"/>
  </mergeCells>
  <printOptions horizontalCentered="1"/>
  <pageMargins left="0.75" right="0.75" top="0.75" bottom="0.5" header="0" footer="0"/>
  <pageSetup scale="85" orientation="portrait" r:id="rId1"/>
  <headerFooter alignWithMargins="0"/>
  <rowBreaks count="1" manualBreakCount="1">
    <brk id="4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P55"/>
  <sheetViews>
    <sheetView zoomScaleNormal="100" zoomScaleSheetLayoutView="90" workbookViewId="0">
      <selection activeCell="K25" sqref="K25"/>
    </sheetView>
  </sheetViews>
  <sheetFormatPr defaultRowHeight="12.75"/>
  <cols>
    <col min="1" max="1" width="4.42578125" style="148" customWidth="1"/>
    <col min="3" max="3" width="1.7109375" customWidth="1"/>
    <col min="4" max="4" width="24.7109375" customWidth="1"/>
    <col min="5" max="5" width="6.85546875" customWidth="1"/>
    <col min="6" max="6" width="20.28515625" customWidth="1"/>
    <col min="7" max="7" width="2.7109375" customWidth="1"/>
    <col min="8" max="8" width="14.28515625" style="109" customWidth="1"/>
    <col min="9" max="9" width="15.5703125" style="109" bestFit="1" customWidth="1"/>
    <col min="10" max="10" width="15.5703125" style="109" hidden="1" customWidth="1"/>
    <col min="11" max="11" width="16.140625" style="109" customWidth="1"/>
    <col min="12" max="12" width="4.28515625" style="145" customWidth="1"/>
    <col min="13" max="13" width="11.28515625" style="145" customWidth="1"/>
    <col min="14" max="15" width="9.140625" style="122" customWidth="1"/>
    <col min="16" max="16" width="9.140625" customWidth="1"/>
  </cols>
  <sheetData>
    <row r="2" spans="1:16">
      <c r="B2" s="406" t="s">
        <v>1</v>
      </c>
      <c r="C2" s="394"/>
      <c r="D2" s="394"/>
      <c r="E2" s="394"/>
      <c r="F2" s="394"/>
      <c r="G2" s="394"/>
      <c r="H2" s="394"/>
      <c r="I2" s="394"/>
      <c r="J2" s="394"/>
      <c r="K2" s="394"/>
    </row>
    <row r="3" spans="1:16">
      <c r="B3" s="406" t="s">
        <v>198</v>
      </c>
      <c r="C3" s="394"/>
      <c r="D3" s="394"/>
      <c r="E3" s="394"/>
      <c r="F3" s="394"/>
      <c r="G3" s="394"/>
      <c r="H3" s="394"/>
      <c r="I3" s="394"/>
      <c r="J3" s="394"/>
      <c r="K3" s="394"/>
    </row>
    <row r="4" spans="1:16">
      <c r="B4" s="406" t="s">
        <v>300</v>
      </c>
      <c r="C4" s="394"/>
      <c r="D4" s="394"/>
      <c r="E4" s="394"/>
      <c r="F4" s="394"/>
      <c r="G4" s="394"/>
      <c r="H4" s="394"/>
      <c r="I4" s="394"/>
      <c r="J4" s="394"/>
      <c r="K4" s="394"/>
    </row>
    <row r="6" spans="1:16" s="16" customFormat="1" ht="21.75" customHeight="1">
      <c r="A6" s="148"/>
      <c r="B6" s="235"/>
      <c r="C6" s="226"/>
      <c r="D6" s="216"/>
      <c r="E6" s="216"/>
      <c r="F6" s="233"/>
      <c r="G6" s="233"/>
      <c r="H6" s="234"/>
      <c r="I6" s="220"/>
      <c r="J6" s="220"/>
      <c r="K6" s="220"/>
      <c r="L6" s="145"/>
      <c r="M6" s="145"/>
      <c r="N6" s="122"/>
      <c r="O6" s="122"/>
    </row>
    <row r="7" spans="1:16" s="16" customFormat="1" ht="15.75">
      <c r="A7" s="148"/>
      <c r="B7" s="229"/>
      <c r="C7" s="228"/>
      <c r="D7" s="184"/>
      <c r="E7" s="137"/>
      <c r="F7" s="139"/>
      <c r="G7" s="139"/>
      <c r="H7" s="138"/>
      <c r="I7" s="118"/>
      <c r="J7" s="118"/>
      <c r="K7" s="360"/>
      <c r="L7" s="154"/>
      <c r="M7" s="154"/>
      <c r="N7" s="123"/>
      <c r="O7" s="123"/>
      <c r="P7" s="228"/>
    </row>
    <row r="8" spans="1:16" s="228" customFormat="1" ht="15.75">
      <c r="A8" s="149"/>
      <c r="B8" s="96"/>
      <c r="C8" s="218"/>
      <c r="D8" s="95" t="s">
        <v>241</v>
      </c>
      <c r="E8" s="95"/>
      <c r="F8" s="95"/>
      <c r="G8" s="95"/>
      <c r="H8" s="161" t="s">
        <v>94</v>
      </c>
      <c r="I8" s="161" t="s">
        <v>95</v>
      </c>
      <c r="J8" s="161" t="s">
        <v>124</v>
      </c>
      <c r="K8" s="345" t="s">
        <v>96</v>
      </c>
      <c r="L8" s="154"/>
      <c r="M8" s="154"/>
      <c r="N8" s="123"/>
      <c r="O8" s="123"/>
    </row>
    <row r="9" spans="1:16" s="16" customFormat="1" ht="15.75">
      <c r="A9" s="148"/>
      <c r="B9" s="215" t="s">
        <v>190</v>
      </c>
      <c r="C9" s="226"/>
      <c r="D9" s="236" t="s">
        <v>191</v>
      </c>
      <c r="E9" s="205"/>
      <c r="F9" s="205"/>
      <c r="G9" s="180"/>
      <c r="H9" s="223">
        <f>2000+19200</f>
        <v>21200</v>
      </c>
      <c r="I9" s="223">
        <f>2000+19200+20000</f>
        <v>41200</v>
      </c>
      <c r="J9" s="138"/>
      <c r="K9" s="329">
        <v>0</v>
      </c>
      <c r="L9" s="154"/>
      <c r="M9" s="154"/>
      <c r="N9" s="123"/>
      <c r="O9" s="123"/>
      <c r="P9" s="228"/>
    </row>
    <row r="10" spans="1:16" s="16" customFormat="1" ht="15.75">
      <c r="A10" s="148"/>
      <c r="B10" s="215" t="s">
        <v>182</v>
      </c>
      <c r="C10" s="226"/>
      <c r="D10" s="236" t="s">
        <v>206</v>
      </c>
      <c r="E10" s="375"/>
      <c r="F10" s="375"/>
      <c r="G10" s="180"/>
      <c r="H10" s="223">
        <f>15000+10000</f>
        <v>25000</v>
      </c>
      <c r="I10" s="223">
        <f>15000+10000</f>
        <v>25000</v>
      </c>
      <c r="J10" s="376"/>
      <c r="K10" s="329">
        <f t="shared" ref="K10:K14" si="0">+H10-I10</f>
        <v>0</v>
      </c>
      <c r="L10" s="154"/>
      <c r="M10" s="154"/>
      <c r="N10" s="123"/>
      <c r="O10" s="123"/>
      <c r="P10" s="228"/>
    </row>
    <row r="11" spans="1:16" s="16" customFormat="1" ht="15.75">
      <c r="A11" s="148"/>
      <c r="B11" s="215" t="s">
        <v>278</v>
      </c>
      <c r="C11" s="226"/>
      <c r="D11" s="236" t="s">
        <v>279</v>
      </c>
      <c r="E11" s="375"/>
      <c r="F11" s="375"/>
      <c r="G11" s="180"/>
      <c r="H11" s="223">
        <v>30553</v>
      </c>
      <c r="I11" s="223">
        <f>7638.25</f>
        <v>7638.25</v>
      </c>
      <c r="J11" s="376"/>
      <c r="K11" s="329">
        <f t="shared" ref="K11" si="1">+H11-I11</f>
        <v>22914.75</v>
      </c>
      <c r="L11" s="154"/>
      <c r="M11" s="154"/>
      <c r="N11" s="123"/>
      <c r="O11" s="123"/>
      <c r="P11" s="228"/>
    </row>
    <row r="12" spans="1:16" s="16" customFormat="1" ht="15.75">
      <c r="A12" s="148"/>
      <c r="B12" s="215" t="s">
        <v>229</v>
      </c>
      <c r="C12" s="226"/>
      <c r="D12" s="236" t="s">
        <v>230</v>
      </c>
      <c r="E12" s="375"/>
      <c r="F12" s="375"/>
      <c r="G12" s="180"/>
      <c r="H12" s="223">
        <f>15000+10000</f>
        <v>25000</v>
      </c>
      <c r="I12" s="223">
        <f>15000+10000</f>
        <v>25000</v>
      </c>
      <c r="J12" s="376"/>
      <c r="K12" s="329">
        <f t="shared" si="0"/>
        <v>0</v>
      </c>
      <c r="L12" s="154"/>
      <c r="M12" s="154"/>
      <c r="N12" s="123"/>
      <c r="O12" s="123"/>
      <c r="P12" s="228"/>
    </row>
    <row r="13" spans="1:16" s="16" customFormat="1" ht="15.75">
      <c r="A13" s="148"/>
      <c r="B13" s="215" t="s">
        <v>251</v>
      </c>
      <c r="C13" s="226"/>
      <c r="D13" s="236" t="s">
        <v>252</v>
      </c>
      <c r="E13" s="205"/>
      <c r="F13" s="205"/>
      <c r="G13" s="180"/>
      <c r="H13" s="223">
        <v>15000</v>
      </c>
      <c r="I13" s="223">
        <f>3750+3750+3750+3750</f>
        <v>15000</v>
      </c>
      <c r="J13" s="138"/>
      <c r="K13" s="329">
        <f t="shared" si="0"/>
        <v>0</v>
      </c>
      <c r="L13" s="154"/>
      <c r="M13" s="154"/>
      <c r="N13" s="123"/>
      <c r="O13" s="123"/>
      <c r="P13" s="228"/>
    </row>
    <row r="14" spans="1:16" s="16" customFormat="1" ht="15.75">
      <c r="A14" s="148"/>
      <c r="B14" s="215"/>
      <c r="C14" s="226"/>
      <c r="D14" s="236"/>
      <c r="E14" s="205"/>
      <c r="F14" s="205"/>
      <c r="G14" s="180"/>
      <c r="H14" s="223"/>
      <c r="I14" s="223"/>
      <c r="J14" s="138"/>
      <c r="K14" s="329">
        <f t="shared" si="0"/>
        <v>0</v>
      </c>
      <c r="L14" s="154"/>
      <c r="M14" s="154"/>
      <c r="N14" s="123"/>
      <c r="O14" s="123"/>
      <c r="P14" s="228"/>
    </row>
    <row r="15" spans="1:16" s="16" customFormat="1">
      <c r="A15" s="148"/>
      <c r="B15" s="232"/>
      <c r="C15" s="218"/>
      <c r="D15" s="309" t="s">
        <v>250</v>
      </c>
      <c r="E15" s="79"/>
      <c r="F15" s="79"/>
      <c r="G15" s="79"/>
      <c r="H15" s="114">
        <f>SUM(H8:H14)</f>
        <v>116753</v>
      </c>
      <c r="I15" s="114">
        <f>SUM(I8:I14)</f>
        <v>113838.25</v>
      </c>
      <c r="J15" s="114" t="e">
        <f>SUM(#REF!)</f>
        <v>#REF!</v>
      </c>
      <c r="K15" s="346">
        <f>SUM(K8:K14)</f>
        <v>22914.75</v>
      </c>
      <c r="L15" s="193"/>
      <c r="M15" s="193"/>
      <c r="N15" s="193"/>
      <c r="O15" s="193"/>
      <c r="P15" s="228"/>
    </row>
    <row r="16" spans="1:16" s="16" customFormat="1">
      <c r="A16" s="149"/>
      <c r="B16" s="235"/>
      <c r="C16" s="226"/>
      <c r="D16" s="375"/>
      <c r="E16" s="205"/>
      <c r="F16" s="205"/>
      <c r="G16" s="205"/>
      <c r="H16" s="138"/>
      <c r="I16" s="138"/>
      <c r="J16" s="138"/>
      <c r="K16" s="138"/>
      <c r="L16" s="193"/>
      <c r="M16" s="193"/>
      <c r="N16" s="193"/>
      <c r="O16" s="193"/>
      <c r="P16" s="228"/>
    </row>
    <row r="17" spans="1:16" s="228" customFormat="1" ht="15.75">
      <c r="A17" s="149"/>
      <c r="B17" s="96"/>
      <c r="C17" s="218"/>
      <c r="D17" s="95" t="s">
        <v>293</v>
      </c>
      <c r="E17" s="95"/>
      <c r="F17" s="95"/>
      <c r="G17" s="95"/>
      <c r="H17" s="161" t="s">
        <v>94</v>
      </c>
      <c r="I17" s="161" t="s">
        <v>95</v>
      </c>
      <c r="J17" s="161" t="s">
        <v>124</v>
      </c>
      <c r="K17" s="345" t="s">
        <v>96</v>
      </c>
      <c r="L17" s="154"/>
      <c r="M17" s="154"/>
      <c r="N17" s="123"/>
      <c r="O17" s="123"/>
    </row>
    <row r="18" spans="1:16" s="16" customFormat="1" ht="15.75">
      <c r="A18" s="148"/>
      <c r="B18" s="215" t="s">
        <v>190</v>
      </c>
      <c r="C18" s="226"/>
      <c r="D18" s="236" t="s">
        <v>191</v>
      </c>
      <c r="E18" s="205"/>
      <c r="F18" s="205"/>
      <c r="G18" s="180"/>
      <c r="H18" s="223">
        <v>20000</v>
      </c>
      <c r="I18" s="223">
        <v>20000</v>
      </c>
      <c r="J18" s="138"/>
      <c r="K18" s="329">
        <f t="shared" ref="K18:K21" si="2">+H18-I18</f>
        <v>0</v>
      </c>
      <c r="L18" s="154"/>
      <c r="M18" s="154"/>
      <c r="N18" s="123"/>
      <c r="O18" s="123"/>
      <c r="P18" s="228"/>
    </row>
    <row r="19" spans="1:16" s="16" customFormat="1" ht="15.75">
      <c r="A19" s="148"/>
      <c r="B19" s="215"/>
      <c r="C19" s="226"/>
      <c r="D19" s="236"/>
      <c r="E19" s="375"/>
      <c r="F19" s="375"/>
      <c r="G19" s="180"/>
      <c r="H19" s="223"/>
      <c r="I19" s="223">
        <v>0</v>
      </c>
      <c r="J19" s="376"/>
      <c r="K19" s="329">
        <f t="shared" si="2"/>
        <v>0</v>
      </c>
      <c r="L19" s="154"/>
      <c r="M19" s="154"/>
      <c r="N19" s="123"/>
      <c r="O19" s="123"/>
      <c r="P19" s="228"/>
    </row>
    <row r="20" spans="1:16" s="16" customFormat="1" ht="15.75">
      <c r="A20" s="148"/>
      <c r="B20" s="215"/>
      <c r="C20" s="226"/>
      <c r="D20" s="236"/>
      <c r="E20" s="205"/>
      <c r="F20" s="205"/>
      <c r="G20" s="180"/>
      <c r="H20" s="223"/>
      <c r="I20" s="223">
        <v>0</v>
      </c>
      <c r="J20" s="138"/>
      <c r="K20" s="329">
        <f t="shared" si="2"/>
        <v>0</v>
      </c>
      <c r="L20" s="154"/>
      <c r="M20" s="154"/>
      <c r="N20" s="123"/>
      <c r="O20" s="123"/>
      <c r="P20" s="228"/>
    </row>
    <row r="21" spans="1:16" s="16" customFormat="1" ht="15.75">
      <c r="A21" s="148"/>
      <c r="B21" s="215"/>
      <c r="C21" s="226"/>
      <c r="D21" s="236"/>
      <c r="E21" s="205"/>
      <c r="F21" s="205"/>
      <c r="G21" s="180"/>
      <c r="H21" s="223"/>
      <c r="I21" s="223"/>
      <c r="J21" s="138"/>
      <c r="K21" s="329">
        <f t="shared" si="2"/>
        <v>0</v>
      </c>
      <c r="L21" s="154"/>
      <c r="M21" s="154"/>
      <c r="N21" s="123"/>
      <c r="O21" s="123"/>
      <c r="P21" s="228"/>
    </row>
    <row r="22" spans="1:16" s="16" customFormat="1">
      <c r="A22" s="148"/>
      <c r="B22" s="232"/>
      <c r="C22" s="218"/>
      <c r="D22" s="309" t="s">
        <v>250</v>
      </c>
      <c r="E22" s="79"/>
      <c r="F22" s="79"/>
      <c r="G22" s="79"/>
      <c r="H22" s="114">
        <f>SUM(H17:H21)</f>
        <v>20000</v>
      </c>
      <c r="I22" s="114">
        <f>SUM(I17:I21)</f>
        <v>20000</v>
      </c>
      <c r="J22" s="114" t="e">
        <f>SUM(#REF!)</f>
        <v>#REF!</v>
      </c>
      <c r="K22" s="346">
        <f>SUM(K17:K21)</f>
        <v>0</v>
      </c>
      <c r="L22" s="193"/>
      <c r="M22" s="193"/>
      <c r="N22" s="193"/>
      <c r="O22" s="193"/>
      <c r="P22" s="228"/>
    </row>
    <row r="23" spans="1:16" s="16" customFormat="1" ht="18">
      <c r="A23" s="148"/>
      <c r="B23" s="366"/>
      <c r="C23" s="229"/>
      <c r="D23" s="229"/>
      <c r="E23" s="137"/>
      <c r="F23" s="26"/>
      <c r="G23" s="75"/>
      <c r="H23" s="118"/>
      <c r="I23" s="155"/>
      <c r="J23" s="155"/>
      <c r="K23" s="162"/>
      <c r="L23" s="193"/>
      <c r="M23" s="193"/>
      <c r="N23" s="193"/>
      <c r="O23" s="193"/>
      <c r="P23" s="228"/>
    </row>
    <row r="24" spans="1:16" s="16" customFormat="1" ht="8.25" customHeight="1" thickBot="1">
      <c r="A24" s="148"/>
      <c r="B24" s="229"/>
      <c r="C24" s="228"/>
      <c r="D24" s="184"/>
      <c r="E24" s="137"/>
      <c r="F24" s="139"/>
      <c r="G24" s="139"/>
      <c r="H24" s="138"/>
      <c r="I24" s="118"/>
      <c r="J24" s="118"/>
      <c r="K24" s="368"/>
      <c r="L24" s="193"/>
      <c r="M24" s="193"/>
      <c r="N24" s="193"/>
      <c r="O24" s="193"/>
      <c r="P24" s="228"/>
    </row>
    <row r="25" spans="1:16" s="16" customFormat="1" ht="18" customHeight="1" thickBot="1">
      <c r="A25" s="148"/>
      <c r="B25" s="229"/>
      <c r="C25" s="228"/>
      <c r="D25" s="254" t="s">
        <v>179</v>
      </c>
      <c r="E25" s="255"/>
      <c r="F25" s="255"/>
      <c r="G25" s="255"/>
      <c r="H25" s="256">
        <f>SUM(+H15)</f>
        <v>116753</v>
      </c>
      <c r="I25" s="256">
        <f>SUM(+I15)</f>
        <v>113838.25</v>
      </c>
      <c r="J25" s="256" t="e">
        <f>SUM(#REF!,#REF!,#REF!,#REF!,#REF!,#REF!)</f>
        <v>#REF!</v>
      </c>
      <c r="K25" s="256">
        <f>SUM(+K15)</f>
        <v>22914.75</v>
      </c>
      <c r="L25" s="193"/>
      <c r="M25" s="193"/>
      <c r="N25" s="193"/>
      <c r="O25" s="193"/>
      <c r="P25" s="228"/>
    </row>
    <row r="26" spans="1:16" s="16" customFormat="1" ht="15.75" customHeight="1">
      <c r="A26" s="148"/>
      <c r="B26" s="229"/>
      <c r="C26" s="228"/>
      <c r="D26" s="136"/>
      <c r="E26" s="136"/>
      <c r="F26" s="136"/>
      <c r="G26" s="136"/>
      <c r="H26" s="118"/>
      <c r="I26" s="155"/>
      <c r="J26" s="155"/>
      <c r="K26"/>
      <c r="L26"/>
      <c r="M26"/>
      <c r="N26"/>
      <c r="O26"/>
      <c r="P26" s="228"/>
    </row>
    <row r="27" spans="1:16" s="16" customFormat="1">
      <c r="A27" s="148"/>
      <c r="B27" s="229"/>
      <c r="C27" s="228"/>
      <c r="D27" s="228"/>
      <c r="E27" s="228"/>
      <c r="F27" s="310" t="s">
        <v>287</v>
      </c>
      <c r="G27" s="137"/>
      <c r="H27" s="118">
        <v>120000</v>
      </c>
      <c r="I27" s="155"/>
      <c r="J27" s="155"/>
      <c r="K27" s="257"/>
      <c r="L27"/>
      <c r="M27"/>
      <c r="N27"/>
      <c r="O27"/>
    </row>
    <row r="28" spans="1:16" s="16" customFormat="1" ht="18">
      <c r="A28" s="148"/>
      <c r="B28" s="229"/>
      <c r="C28" s="228"/>
      <c r="D28" s="228"/>
      <c r="E28" s="228"/>
      <c r="F28" s="310" t="s">
        <v>288</v>
      </c>
      <c r="G28" s="137"/>
      <c r="H28" s="118">
        <v>-20000</v>
      </c>
      <c r="I28" s="366"/>
      <c r="J28" s="155"/>
      <c r="K28" s="257"/>
      <c r="L28" s="145"/>
      <c r="M28" s="145"/>
      <c r="N28" s="122"/>
      <c r="O28" s="122"/>
    </row>
    <row r="29" spans="1:16" s="16" customFormat="1">
      <c r="A29" s="148"/>
      <c r="B29" s="229"/>
      <c r="C29" s="228"/>
      <c r="D29" s="228"/>
      <c r="E29" s="228"/>
      <c r="F29" s="137" t="s">
        <v>132</v>
      </c>
      <c r="G29" s="137"/>
      <c r="H29" s="138">
        <v>0</v>
      </c>
      <c r="I29" s="328"/>
      <c r="J29" s="155"/>
      <c r="K29"/>
      <c r="L29" s="145"/>
      <c r="M29" s="145"/>
      <c r="N29" s="122"/>
      <c r="O29" s="122"/>
    </row>
    <row r="30" spans="1:16" s="16" customFormat="1" ht="15.75" customHeight="1" thickBot="1">
      <c r="A30" s="366"/>
      <c r="B30" s="229"/>
      <c r="C30" s="228"/>
      <c r="D30" s="228"/>
      <c r="E30" s="228"/>
      <c r="F30" s="310" t="s">
        <v>289</v>
      </c>
      <c r="G30" s="137"/>
      <c r="H30" s="342">
        <f>SUM(H27:H29)</f>
        <v>100000</v>
      </c>
      <c r="I30" s="178"/>
      <c r="J30" s="155"/>
      <c r="K30"/>
      <c r="L30" s="145"/>
      <c r="M30" s="145"/>
      <c r="N30" s="122"/>
      <c r="O30" s="122"/>
    </row>
    <row r="31" spans="1:16" s="16" customFormat="1" ht="13.5" thickTop="1">
      <c r="A31" s="148"/>
      <c r="B31" s="229"/>
      <c r="C31" s="228"/>
      <c r="D31" s="137"/>
      <c r="E31" s="137"/>
      <c r="F31" s="26"/>
      <c r="G31" s="75"/>
      <c r="H31" s="133"/>
      <c r="I31" s="178">
        <f>SUM(I29:I30)</f>
        <v>0</v>
      </c>
      <c r="J31" s="155"/>
      <c r="K31"/>
      <c r="L31" s="145"/>
      <c r="M31" s="145"/>
      <c r="N31" s="122"/>
      <c r="O31" s="122"/>
    </row>
    <row r="32" spans="1:16" ht="18">
      <c r="B32" s="366"/>
      <c r="C32" s="229"/>
      <c r="D32" s="229"/>
      <c r="E32" s="137"/>
      <c r="F32" s="26"/>
      <c r="G32" s="75"/>
      <c r="H32" s="118"/>
      <c r="I32" s="155"/>
      <c r="J32" s="155"/>
      <c r="K32" s="162"/>
    </row>
    <row r="33" spans="1:15" s="145" customFormat="1">
      <c r="A33" s="148"/>
      <c r="B33" s="229"/>
      <c r="C33" s="229"/>
      <c r="D33"/>
      <c r="E33"/>
      <c r="F33"/>
      <c r="G33"/>
      <c r="H33" s="109"/>
      <c r="I33" s="109"/>
      <c r="J33" s="109"/>
      <c r="K33" s="163"/>
      <c r="N33" s="122"/>
      <c r="O33" s="122"/>
    </row>
    <row r="34" spans="1:15" s="145" customFormat="1">
      <c r="A34" s="148"/>
      <c r="B34"/>
      <c r="C34"/>
      <c r="D34"/>
      <c r="E34"/>
      <c r="F34"/>
      <c r="G34"/>
      <c r="H34" s="109"/>
      <c r="I34" s="109"/>
      <c r="J34" s="109"/>
      <c r="K34" s="109"/>
      <c r="N34" s="122"/>
      <c r="O34" s="122"/>
    </row>
    <row r="35" spans="1:15" s="145" customFormat="1">
      <c r="A35" s="148"/>
      <c r="B35"/>
      <c r="C35"/>
      <c r="D35"/>
      <c r="E35"/>
      <c r="F35"/>
      <c r="G35"/>
      <c r="H35" s="109"/>
      <c r="I35" s="109"/>
      <c r="J35" s="109"/>
      <c r="K35" s="312" t="s">
        <v>133</v>
      </c>
      <c r="N35" s="122"/>
      <c r="O35" s="122"/>
    </row>
    <row r="36" spans="1:15" s="145" customFormat="1">
      <c r="A36" s="148"/>
      <c r="B36"/>
      <c r="C36"/>
      <c r="D36"/>
      <c r="E36"/>
      <c r="F36"/>
      <c r="G36"/>
      <c r="H36" s="109"/>
      <c r="I36" s="109"/>
      <c r="J36" s="109"/>
      <c r="K36" s="163"/>
      <c r="N36" s="122"/>
      <c r="O36" s="122"/>
    </row>
    <row r="37" spans="1:15" s="145" customFormat="1">
      <c r="A37" s="148"/>
      <c r="B37"/>
      <c r="C37"/>
      <c r="D37"/>
      <c r="E37"/>
      <c r="F37"/>
      <c r="G37"/>
      <c r="H37" s="109"/>
      <c r="I37" s="109"/>
      <c r="J37" s="109"/>
      <c r="K37" s="163"/>
      <c r="N37" s="122"/>
      <c r="O37" s="122"/>
    </row>
    <row r="38" spans="1:15" s="145" customFormat="1">
      <c r="A38" s="148"/>
      <c r="B38"/>
      <c r="C38"/>
      <c r="D38"/>
      <c r="E38"/>
      <c r="F38"/>
      <c r="G38"/>
      <c r="H38" s="109"/>
      <c r="I38" s="109"/>
      <c r="J38" s="109"/>
      <c r="K38" s="163"/>
      <c r="N38" s="122"/>
      <c r="O38" s="122"/>
    </row>
    <row r="39" spans="1:15" s="145" customFormat="1">
      <c r="A39" s="148"/>
      <c r="B39"/>
      <c r="C39"/>
      <c r="D39"/>
      <c r="E39"/>
      <c r="F39"/>
      <c r="G39"/>
      <c r="H39" s="109"/>
      <c r="I39" s="109"/>
      <c r="J39" s="109"/>
      <c r="K39" s="163"/>
      <c r="N39" s="122"/>
      <c r="O39" s="122"/>
    </row>
    <row r="40" spans="1:15" s="145" customFormat="1">
      <c r="A40" s="148"/>
      <c r="B40"/>
      <c r="C40"/>
      <c r="D40"/>
      <c r="E40"/>
      <c r="F40"/>
      <c r="G40"/>
      <c r="H40" s="109"/>
      <c r="I40" s="109"/>
      <c r="J40" s="109"/>
      <c r="K40" s="163"/>
      <c r="N40" s="122"/>
      <c r="O40" s="122"/>
    </row>
    <row r="41" spans="1:15" s="145" customFormat="1">
      <c r="A41" s="148"/>
      <c r="B41"/>
      <c r="C41"/>
      <c r="D41"/>
      <c r="E41"/>
      <c r="F41"/>
      <c r="G41"/>
      <c r="H41" s="109"/>
      <c r="I41" s="109"/>
      <c r="J41" s="109"/>
      <c r="K41" s="163"/>
      <c r="N41" s="122"/>
      <c r="O41" s="122"/>
    </row>
    <row r="42" spans="1:15" s="145" customFormat="1">
      <c r="A42" s="148"/>
      <c r="B42"/>
      <c r="C42"/>
      <c r="D42"/>
      <c r="E42"/>
      <c r="F42"/>
      <c r="G42"/>
      <c r="H42" s="109"/>
      <c r="I42" s="109"/>
      <c r="J42" s="109"/>
      <c r="K42" s="163"/>
      <c r="N42" s="122"/>
      <c r="O42" s="122"/>
    </row>
    <row r="43" spans="1:15" s="145" customFormat="1">
      <c r="A43" s="148"/>
      <c r="B43"/>
      <c r="C43"/>
      <c r="D43"/>
      <c r="E43"/>
      <c r="F43"/>
      <c r="G43"/>
      <c r="H43" s="109"/>
      <c r="I43" s="109"/>
      <c r="J43" s="109"/>
      <c r="K43" s="163"/>
      <c r="N43" s="122"/>
      <c r="O43" s="122"/>
    </row>
    <row r="44" spans="1:15" s="145" customFormat="1">
      <c r="A44" s="148"/>
      <c r="B44"/>
      <c r="C44"/>
      <c r="D44"/>
      <c r="E44"/>
      <c r="F44"/>
      <c r="G44"/>
      <c r="H44" s="109"/>
      <c r="I44" s="109"/>
      <c r="J44" s="109"/>
      <c r="K44" s="163"/>
      <c r="N44" s="122"/>
      <c r="O44" s="122"/>
    </row>
    <row r="45" spans="1:15" s="145" customFormat="1">
      <c r="A45" s="148"/>
      <c r="B45"/>
      <c r="C45"/>
      <c r="D45"/>
      <c r="E45"/>
      <c r="F45"/>
      <c r="G45"/>
      <c r="H45" s="109"/>
      <c r="I45" s="109"/>
      <c r="J45" s="109"/>
      <c r="K45" s="163"/>
      <c r="N45" s="122"/>
      <c r="O45" s="122"/>
    </row>
    <row r="46" spans="1:15">
      <c r="K46" s="163"/>
    </row>
    <row r="47" spans="1:15" s="145" customFormat="1">
      <c r="A47" s="148"/>
      <c r="B47"/>
      <c r="C47"/>
      <c r="D47"/>
      <c r="E47"/>
      <c r="F47"/>
      <c r="G47"/>
      <c r="H47" s="109"/>
      <c r="I47" s="109"/>
      <c r="J47" s="109"/>
      <c r="K47" s="163"/>
      <c r="N47" s="122"/>
      <c r="O47" s="122"/>
    </row>
    <row r="48" spans="1:15" s="145" customFormat="1">
      <c r="A48" s="148"/>
      <c r="B48"/>
      <c r="C48"/>
      <c r="D48"/>
      <c r="E48"/>
      <c r="F48"/>
      <c r="G48"/>
      <c r="H48" s="109"/>
      <c r="I48" s="109"/>
      <c r="J48" s="109"/>
      <c r="K48" s="109"/>
      <c r="N48" s="122"/>
      <c r="O48" s="122"/>
    </row>
    <row r="49" spans="1:15" s="145" customFormat="1">
      <c r="A49" s="148"/>
      <c r="B49"/>
      <c r="C49"/>
      <c r="D49"/>
      <c r="E49"/>
      <c r="F49"/>
      <c r="G49"/>
      <c r="H49" s="109"/>
      <c r="I49" s="109"/>
      <c r="J49" s="109"/>
      <c r="K49" s="163"/>
      <c r="N49" s="122"/>
      <c r="O49" s="122"/>
    </row>
    <row r="50" spans="1:15">
      <c r="K50" s="163"/>
    </row>
    <row r="51" spans="1:15">
      <c r="K51" s="163"/>
    </row>
    <row r="53" spans="1:15">
      <c r="A53"/>
      <c r="L53"/>
      <c r="M53"/>
      <c r="N53"/>
      <c r="O53"/>
    </row>
    <row r="55" spans="1:15">
      <c r="G55" s="355"/>
      <c r="H55"/>
      <c r="I55"/>
      <c r="J55"/>
      <c r="K55"/>
    </row>
  </sheetData>
  <mergeCells count="3">
    <mergeCell ref="B2:K2"/>
    <mergeCell ref="B3:K3"/>
    <mergeCell ref="B4:K4"/>
  </mergeCells>
  <printOptions horizontalCentered="1"/>
  <pageMargins left="0.25" right="0.25" top="0.5" bottom="0.25" header="0" footer="0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balance sheet</vt:lpstr>
      <vt:lpstr>change in net assets</vt:lpstr>
      <vt:lpstr>income statement</vt:lpstr>
      <vt:lpstr>Pro Rata Income Statement</vt:lpstr>
      <vt:lpstr>Admin vs Prog</vt:lpstr>
      <vt:lpstr>domestic projects (with 0 proj)</vt:lpstr>
      <vt:lpstr>int'l projects (with 0 proj)</vt:lpstr>
      <vt:lpstr>'Admin vs Prog'!Print_Area</vt:lpstr>
      <vt:lpstr>'balance sheet'!Print_Area</vt:lpstr>
      <vt:lpstr>'change in net assets'!Print_Area</vt:lpstr>
      <vt:lpstr>'domestic projects (with 0 proj)'!Print_Area</vt:lpstr>
      <vt:lpstr>'income statement'!Print_Area</vt:lpstr>
      <vt:lpstr>'int''l projects (with 0 proj)'!Print_Area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fasb</dc:title>
  <dc:creator>Rhonda Martin</dc:creator>
  <cp:lastModifiedBy>Cynthia Embry</cp:lastModifiedBy>
  <cp:lastPrinted>2018-11-29T14:14:45Z</cp:lastPrinted>
  <dcterms:created xsi:type="dcterms:W3CDTF">1998-06-22T17:14:19Z</dcterms:created>
  <dcterms:modified xsi:type="dcterms:W3CDTF">2018-11-29T14:19:19Z</dcterms:modified>
</cp:coreProperties>
</file>