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My Passport for Mac/media/"/>
    </mc:Choice>
  </mc:AlternateContent>
  <bookViews>
    <workbookView xWindow="1060" yWindow="460" windowWidth="19200" windowHeight="7060" tabRatio="762"/>
  </bookViews>
  <sheets>
    <sheet name="balance sheet" sheetId="28340" r:id="rId1"/>
    <sheet name="change in net assets" sheetId="5" r:id="rId2"/>
    <sheet name="income statement" sheetId="3" r:id="rId3"/>
    <sheet name="Pro Rata Income Statement" sheetId="680" state="hidden" r:id="rId4"/>
    <sheet name="Admin vs Prog" sheetId="1" r:id="rId5"/>
    <sheet name="domestic projects (with 0 proj)" sheetId="28367" r:id="rId6"/>
    <sheet name="int'l projects (with 0 proj)" sheetId="28368" r:id="rId7"/>
  </sheets>
  <definedNames>
    <definedName name="_xlnm.Print_Area" localSheetId="4">'Admin vs Prog'!$B$1:$H$67</definedName>
    <definedName name="_xlnm.Print_Area" localSheetId="0">'balance sheet'!$A$1:$J$56</definedName>
    <definedName name="_xlnm.Print_Area" localSheetId="1">'change in net assets'!$A$2:$G$40</definedName>
    <definedName name="_xlnm.Print_Area" localSheetId="5">'domestic projects (with 0 proj)'!$A$1:$G$108</definedName>
    <definedName name="_xlnm.Print_Area" localSheetId="2">'income statement'!$B$1:$I$49</definedName>
    <definedName name="_xlnm.Print_Area" localSheetId="6">'int''l projects (with 0 proj)'!$B$2:$K$37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3" l="1"/>
  <c r="E18" i="1"/>
  <c r="G18" i="1"/>
  <c r="D28" i="1"/>
  <c r="F19" i="3"/>
  <c r="F16" i="3"/>
  <c r="F14" i="3"/>
  <c r="I24" i="28368"/>
  <c r="F87" i="28367"/>
  <c r="F59" i="28367"/>
  <c r="F58" i="28367"/>
  <c r="F86" i="28367"/>
  <c r="F15" i="28367"/>
  <c r="F50" i="28367"/>
  <c r="F49" i="28367"/>
  <c r="F80" i="28367"/>
  <c r="F76" i="28367"/>
  <c r="F75" i="28367"/>
  <c r="F46" i="28367"/>
  <c r="F40" i="28367"/>
  <c r="D23" i="5"/>
  <c r="F23" i="5"/>
  <c r="I16" i="28368"/>
  <c r="I22" i="28368"/>
  <c r="I9" i="28368"/>
  <c r="I21" i="28368"/>
  <c r="F88" i="28367"/>
  <c r="F56" i="28367"/>
  <c r="F55" i="28367"/>
  <c r="F54" i="28367"/>
  <c r="F32" i="28367"/>
  <c r="F84" i="28367"/>
  <c r="F83" i="28367"/>
  <c r="F82" i="28367"/>
  <c r="F51" i="28367"/>
  <c r="F78" i="28367"/>
  <c r="F25" i="28367"/>
  <c r="F38" i="28367"/>
  <c r="G26" i="5"/>
  <c r="J41" i="28340"/>
  <c r="J42" i="28340"/>
  <c r="F25" i="3"/>
  <c r="D20" i="1"/>
  <c r="F26" i="3"/>
  <c r="D31" i="1"/>
  <c r="F27" i="3"/>
  <c r="D34" i="1"/>
  <c r="D43" i="1"/>
  <c r="D51" i="1"/>
  <c r="F29" i="3"/>
  <c r="D53" i="1"/>
  <c r="F30" i="3"/>
  <c r="C67" i="680"/>
  <c r="F67" i="680"/>
  <c r="G67" i="680"/>
  <c r="D54" i="1"/>
  <c r="F31" i="3"/>
  <c r="F32" i="3"/>
  <c r="C68" i="680"/>
  <c r="D56" i="1"/>
  <c r="F33" i="3"/>
  <c r="D16" i="5"/>
  <c r="E16" i="5"/>
  <c r="D19" i="5"/>
  <c r="E19" i="5"/>
  <c r="F19" i="5"/>
  <c r="E20" i="5"/>
  <c r="E21" i="5"/>
  <c r="D15" i="5"/>
  <c r="F29" i="28367"/>
  <c r="I20" i="28368"/>
  <c r="I12" i="28368"/>
  <c r="E103" i="28367"/>
  <c r="E102" i="28367"/>
  <c r="E101" i="28367"/>
  <c r="E100" i="28367"/>
  <c r="F27" i="28367"/>
  <c r="F79" i="28367"/>
  <c r="F23" i="28367"/>
  <c r="F71" i="28367"/>
  <c r="F39" i="28367"/>
  <c r="G39" i="28367"/>
  <c r="F37" i="28367"/>
  <c r="F8" i="28367"/>
  <c r="E30" i="1"/>
  <c r="C29" i="1"/>
  <c r="C28" i="1"/>
  <c r="C26" i="1"/>
  <c r="G84" i="28367"/>
  <c r="G80" i="28367"/>
  <c r="G78" i="28367"/>
  <c r="G76" i="28367"/>
  <c r="G73" i="28367"/>
  <c r="G72" i="28367"/>
  <c r="E86" i="28367"/>
  <c r="G87" i="28367"/>
  <c r="K24" i="28368"/>
  <c r="K23" i="28368"/>
  <c r="K22" i="28368"/>
  <c r="K21" i="28368"/>
  <c r="H30" i="28368"/>
  <c r="K20" i="28368"/>
  <c r="I25" i="28368"/>
  <c r="H25" i="28368"/>
  <c r="A67" i="28367"/>
  <c r="E89" i="28367"/>
  <c r="E94" i="28367"/>
  <c r="E95" i="28367"/>
  <c r="G8" i="28367"/>
  <c r="G9" i="28367"/>
  <c r="G15" i="28367"/>
  <c r="G17" i="28367"/>
  <c r="F16" i="28367"/>
  <c r="F21" i="28367"/>
  <c r="G21" i="28367"/>
  <c r="G23" i="28367"/>
  <c r="F24" i="28367"/>
  <c r="G24" i="28367"/>
  <c r="G25" i="28367"/>
  <c r="G27" i="28367"/>
  <c r="G29" i="28367"/>
  <c r="F30" i="28367"/>
  <c r="G30" i="28367"/>
  <c r="F31" i="28367"/>
  <c r="G31" i="28367"/>
  <c r="G32" i="28367"/>
  <c r="E37" i="28367"/>
  <c r="G37" i="28367"/>
  <c r="G38" i="28367"/>
  <c r="G40" i="28367"/>
  <c r="F42" i="28367"/>
  <c r="G42" i="28367"/>
  <c r="F43" i="28367"/>
  <c r="G43" i="28367"/>
  <c r="F44" i="28367"/>
  <c r="G44" i="28367"/>
  <c r="F45" i="28367"/>
  <c r="G45" i="28367"/>
  <c r="G46" i="28367"/>
  <c r="F47" i="28367"/>
  <c r="G47" i="28367"/>
  <c r="G49" i="28367"/>
  <c r="G50" i="28367"/>
  <c r="G51" i="28367"/>
  <c r="F53" i="28367"/>
  <c r="G53" i="28367"/>
  <c r="G54" i="28367"/>
  <c r="G55" i="28367"/>
  <c r="G56" i="28367"/>
  <c r="F57" i="28367"/>
  <c r="G57" i="28367"/>
  <c r="G58" i="28367"/>
  <c r="G59" i="28367"/>
  <c r="G71" i="28367"/>
  <c r="G75" i="28367"/>
  <c r="G77" i="28367"/>
  <c r="G79" i="28367"/>
  <c r="G82" i="28367"/>
  <c r="G83" i="28367"/>
  <c r="G86" i="28367"/>
  <c r="G88" i="28367"/>
  <c r="D22" i="5"/>
  <c r="C33" i="1"/>
  <c r="C23" i="1"/>
  <c r="K12" i="28368"/>
  <c r="K9" i="28368"/>
  <c r="K16" i="28368"/>
  <c r="K10" i="28368"/>
  <c r="K11" i="28368"/>
  <c r="I13" i="28368"/>
  <c r="I14" i="28368"/>
  <c r="I15" i="28368"/>
  <c r="I17" i="28368"/>
  <c r="I27" i="28368"/>
  <c r="K14" i="28368"/>
  <c r="K15" i="28368"/>
  <c r="H17" i="28368"/>
  <c r="H27" i="28368"/>
  <c r="J25" i="28368"/>
  <c r="F89" i="28367"/>
  <c r="F9" i="28367"/>
  <c r="F13" i="28367"/>
  <c r="F17" i="28367"/>
  <c r="F33" i="28367"/>
  <c r="E9" i="28367"/>
  <c r="E17" i="28367"/>
  <c r="E33" i="28367"/>
  <c r="F35" i="3"/>
  <c r="E25" i="5"/>
  <c r="F25" i="5"/>
  <c r="I35" i="28340"/>
  <c r="I36" i="28340"/>
  <c r="F74" i="5"/>
  <c r="F72" i="5"/>
  <c r="F11" i="28368"/>
  <c r="F67" i="5"/>
  <c r="J17" i="28368"/>
  <c r="F17" i="5"/>
  <c r="F22" i="3"/>
  <c r="I22" i="3"/>
  <c r="H21" i="3"/>
  <c r="D22" i="3"/>
  <c r="E49" i="1"/>
  <c r="I11" i="3"/>
  <c r="F11" i="3"/>
  <c r="D8" i="1"/>
  <c r="C26" i="5"/>
  <c r="A5" i="5"/>
  <c r="E41" i="1"/>
  <c r="E40" i="1"/>
  <c r="E18" i="5"/>
  <c r="F18" i="5"/>
  <c r="D21" i="5"/>
  <c r="F21" i="5"/>
  <c r="D20" i="5"/>
  <c r="F20" i="5"/>
  <c r="G59" i="1"/>
  <c r="E46" i="1"/>
  <c r="E16" i="1"/>
  <c r="D33" i="3"/>
  <c r="G46" i="1"/>
  <c r="C20" i="1"/>
  <c r="D26" i="3"/>
  <c r="I34" i="3"/>
  <c r="I37" i="3"/>
  <c r="G42" i="1"/>
  <c r="D25" i="3"/>
  <c r="E59" i="1"/>
  <c r="C43" i="1"/>
  <c r="E13" i="1"/>
  <c r="J38" i="28340"/>
  <c r="J23" i="28340"/>
  <c r="J17" i="28340"/>
  <c r="J25" i="28340"/>
  <c r="J27" i="28368"/>
  <c r="I33" i="28368"/>
  <c r="F104" i="28367"/>
  <c r="B4" i="1"/>
  <c r="E10" i="1"/>
  <c r="G10" i="1"/>
  <c r="E11" i="1"/>
  <c r="G11" i="1"/>
  <c r="E12" i="1"/>
  <c r="G12" i="1"/>
  <c r="G13" i="1"/>
  <c r="E14" i="1"/>
  <c r="G14" i="1"/>
  <c r="E15" i="1"/>
  <c r="G15" i="1"/>
  <c r="E17" i="1"/>
  <c r="G17" i="1"/>
  <c r="E19" i="1"/>
  <c r="G19" i="1"/>
  <c r="E23" i="1"/>
  <c r="E26" i="1"/>
  <c r="G26" i="1"/>
  <c r="E27" i="1"/>
  <c r="G27" i="1"/>
  <c r="E28" i="1"/>
  <c r="G28" i="1"/>
  <c r="E29" i="1"/>
  <c r="G29" i="1"/>
  <c r="C31" i="1"/>
  <c r="D27" i="3"/>
  <c r="E33" i="1"/>
  <c r="E34" i="1"/>
  <c r="E35" i="1"/>
  <c r="E36" i="1"/>
  <c r="E37" i="1"/>
  <c r="E38" i="1"/>
  <c r="E39" i="1"/>
  <c r="E42" i="1"/>
  <c r="E43" i="1"/>
  <c r="G33" i="1"/>
  <c r="G34" i="1"/>
  <c r="G35" i="1"/>
  <c r="G36" i="1"/>
  <c r="G37" i="1"/>
  <c r="G38" i="1"/>
  <c r="G39" i="1"/>
  <c r="E45" i="1"/>
  <c r="E47" i="1"/>
  <c r="E48" i="1"/>
  <c r="E50" i="1"/>
  <c r="E51" i="1"/>
  <c r="G45" i="1"/>
  <c r="G47" i="1"/>
  <c r="G48" i="1"/>
  <c r="G50" i="1"/>
  <c r="C51" i="1"/>
  <c r="G51" i="1"/>
  <c r="E53" i="1"/>
  <c r="G53" i="1"/>
  <c r="E54" i="1"/>
  <c r="G54" i="1"/>
  <c r="E55" i="1"/>
  <c r="G55" i="1"/>
  <c r="E56" i="1"/>
  <c r="C57" i="1"/>
  <c r="D57" i="1"/>
  <c r="C10" i="680"/>
  <c r="F10" i="680"/>
  <c r="D10" i="680"/>
  <c r="E10" i="680"/>
  <c r="C12" i="680"/>
  <c r="G12" i="680"/>
  <c r="G13" i="680"/>
  <c r="G14" i="680"/>
  <c r="G15" i="680"/>
  <c r="G16" i="680"/>
  <c r="G17" i="680"/>
  <c r="G18" i="680"/>
  <c r="G19" i="680"/>
  <c r="G20" i="680"/>
  <c r="G21" i="680"/>
  <c r="G22" i="680"/>
  <c r="G23" i="680"/>
  <c r="G24" i="680"/>
  <c r="D12" i="680"/>
  <c r="E12" i="680"/>
  <c r="D13" i="680"/>
  <c r="E13" i="680"/>
  <c r="D14" i="680"/>
  <c r="E14" i="680"/>
  <c r="D15" i="680"/>
  <c r="E15" i="680"/>
  <c r="D16" i="680"/>
  <c r="E16" i="680"/>
  <c r="D17" i="680"/>
  <c r="E17" i="680"/>
  <c r="D18" i="680"/>
  <c r="E18" i="680"/>
  <c r="D19" i="680"/>
  <c r="E19" i="680"/>
  <c r="D20" i="680"/>
  <c r="E20" i="680"/>
  <c r="D21" i="680"/>
  <c r="E21" i="680"/>
  <c r="D22" i="680"/>
  <c r="E22" i="680"/>
  <c r="D23" i="680"/>
  <c r="E23" i="680"/>
  <c r="F24" i="680"/>
  <c r="F26" i="680"/>
  <c r="D26" i="680"/>
  <c r="F27" i="680"/>
  <c r="D27" i="680"/>
  <c r="E27" i="680"/>
  <c r="G27" i="680"/>
  <c r="F28" i="680"/>
  <c r="D28" i="680"/>
  <c r="E28" i="680"/>
  <c r="G28" i="680"/>
  <c r="D29" i="680"/>
  <c r="C30" i="680"/>
  <c r="F32" i="680"/>
  <c r="G32" i="680"/>
  <c r="G33" i="680"/>
  <c r="G34" i="680"/>
  <c r="G35" i="680"/>
  <c r="G36" i="680"/>
  <c r="G37" i="680"/>
  <c r="G38" i="680"/>
  <c r="D32" i="680"/>
  <c r="D33" i="680"/>
  <c r="D34" i="680"/>
  <c r="D35" i="680"/>
  <c r="D36" i="680"/>
  <c r="D37" i="680"/>
  <c r="D38" i="680"/>
  <c r="E34" i="680"/>
  <c r="E37" i="680"/>
  <c r="E35" i="680"/>
  <c r="E36" i="680"/>
  <c r="C38" i="680"/>
  <c r="F38" i="680"/>
  <c r="C40" i="680"/>
  <c r="G40" i="680"/>
  <c r="G41" i="680"/>
  <c r="D40" i="680"/>
  <c r="E40" i="680"/>
  <c r="E41" i="680"/>
  <c r="F41" i="680"/>
  <c r="F43" i="680"/>
  <c r="D43" i="680"/>
  <c r="D44" i="680"/>
  <c r="C48" i="680"/>
  <c r="F48" i="680"/>
  <c r="G48" i="680"/>
  <c r="D48" i="680"/>
  <c r="E48" i="680"/>
  <c r="F50" i="680"/>
  <c r="F51" i="680"/>
  <c r="F52" i="680"/>
  <c r="F54" i="680"/>
  <c r="G50" i="680"/>
  <c r="D51" i="680"/>
  <c r="E51" i="680"/>
  <c r="G51" i="680"/>
  <c r="D52" i="680"/>
  <c r="E52" i="680"/>
  <c r="G52" i="680"/>
  <c r="D53" i="680"/>
  <c r="E53" i="680"/>
  <c r="G53" i="680"/>
  <c r="C54" i="680"/>
  <c r="G54" i="680"/>
  <c r="F56" i="680"/>
  <c r="G56" i="680"/>
  <c r="D56" i="680"/>
  <c r="C57" i="680"/>
  <c r="G57" i="680"/>
  <c r="G58" i="680"/>
  <c r="C59" i="680"/>
  <c r="G59" i="680"/>
  <c r="C60" i="680"/>
  <c r="G60" i="680"/>
  <c r="C61" i="680"/>
  <c r="G61" i="680"/>
  <c r="G62" i="680"/>
  <c r="D57" i="680"/>
  <c r="E57" i="680"/>
  <c r="D58" i="680"/>
  <c r="E58" i="680"/>
  <c r="D59" i="680"/>
  <c r="E59" i="680"/>
  <c r="D60" i="680"/>
  <c r="E60" i="680"/>
  <c r="D61" i="680"/>
  <c r="E61" i="680"/>
  <c r="D62" i="680"/>
  <c r="E62" i="680"/>
  <c r="D63" i="680"/>
  <c r="F66" i="680"/>
  <c r="D66" i="680"/>
  <c r="D69" i="680"/>
  <c r="D67" i="680"/>
  <c r="E67" i="680"/>
  <c r="F68" i="680"/>
  <c r="D68" i="680"/>
  <c r="H12" i="3"/>
  <c r="H13" i="3"/>
  <c r="H14" i="3"/>
  <c r="H15" i="3"/>
  <c r="H16" i="3"/>
  <c r="H17" i="3"/>
  <c r="H18" i="3"/>
  <c r="H19" i="3"/>
  <c r="H20" i="3"/>
  <c r="D30" i="3"/>
  <c r="H30" i="3"/>
  <c r="D31" i="3"/>
  <c r="D32" i="3"/>
  <c r="F22" i="5"/>
  <c r="H17" i="28340"/>
  <c r="H23" i="28340"/>
  <c r="H26" i="28340"/>
  <c r="H84" i="28340"/>
  <c r="H85" i="28340"/>
  <c r="H86" i="28340"/>
  <c r="H87" i="28340"/>
  <c r="H88" i="28340"/>
  <c r="H89" i="28340"/>
  <c r="H101" i="28340"/>
  <c r="H102" i="28340"/>
  <c r="H103" i="28340"/>
  <c r="H104" i="28340"/>
  <c r="H105" i="28340"/>
  <c r="H107" i="28340"/>
  <c r="H108" i="28340"/>
  <c r="H109" i="28340"/>
  <c r="H110" i="28340"/>
  <c r="H111" i="28340"/>
  <c r="H112" i="28340"/>
  <c r="H113" i="28340"/>
  <c r="H115" i="28340"/>
  <c r="H116" i="28340"/>
  <c r="H117" i="28340"/>
  <c r="H121" i="28340"/>
  <c r="G23" i="1"/>
  <c r="E104" i="28367"/>
  <c r="E32" i="680"/>
  <c r="E56" i="680"/>
  <c r="H32" i="28368"/>
  <c r="D29" i="3"/>
  <c r="D24" i="680"/>
  <c r="E24" i="680"/>
  <c r="D50" i="680"/>
  <c r="D54" i="680"/>
  <c r="C41" i="680"/>
  <c r="C24" i="680"/>
  <c r="E50" i="680"/>
  <c r="C66" i="680"/>
  <c r="E57" i="1"/>
  <c r="F44" i="680"/>
  <c r="H31" i="3"/>
  <c r="G57" i="1"/>
  <c r="H25" i="3"/>
  <c r="C58" i="1"/>
  <c r="C61" i="1"/>
  <c r="D28" i="3"/>
  <c r="E64" i="680"/>
  <c r="G64" i="680"/>
  <c r="D30" i="680"/>
  <c r="E26" i="680"/>
  <c r="E30" i="680"/>
  <c r="F28" i="3"/>
  <c r="F34" i="3"/>
  <c r="G43" i="1"/>
  <c r="F30" i="680"/>
  <c r="F45" i="680"/>
  <c r="E33" i="680"/>
  <c r="E38" i="680"/>
  <c r="E54" i="680"/>
  <c r="G33" i="28367"/>
  <c r="H33" i="3"/>
  <c r="E24" i="5"/>
  <c r="F24" i="5"/>
  <c r="E66" i="680"/>
  <c r="E69" i="680"/>
  <c r="E31" i="1"/>
  <c r="D34" i="3"/>
  <c r="G10" i="680"/>
  <c r="F69" i="680"/>
  <c r="F64" i="680"/>
  <c r="F70" i="680"/>
  <c r="F72" i="680"/>
  <c r="C64" i="680"/>
  <c r="D41" i="680"/>
  <c r="D45" i="680"/>
  <c r="E60" i="28367"/>
  <c r="E91" i="28367"/>
  <c r="F60" i="28367"/>
  <c r="F91" i="28367"/>
  <c r="K13" i="28368"/>
  <c r="K17" i="28368"/>
  <c r="K25" i="28368"/>
  <c r="K27" i="28368"/>
  <c r="H36" i="28340"/>
  <c r="G26" i="680"/>
  <c r="G30" i="680"/>
  <c r="D64" i="680"/>
  <c r="D70" i="680"/>
  <c r="D72" i="680"/>
  <c r="H25" i="28340"/>
  <c r="H27" i="3"/>
  <c r="J44" i="28340"/>
  <c r="H26" i="3"/>
  <c r="G68" i="680"/>
  <c r="E68" i="680"/>
  <c r="C43" i="680"/>
  <c r="G66" i="680"/>
  <c r="G69" i="680"/>
  <c r="G70" i="680"/>
  <c r="H35" i="3"/>
  <c r="H32" i="3"/>
  <c r="H29" i="3"/>
  <c r="C69" i="680"/>
  <c r="E20" i="1"/>
  <c r="G20" i="1"/>
  <c r="G31" i="1"/>
  <c r="D58" i="1"/>
  <c r="D61" i="1"/>
  <c r="F16" i="5"/>
  <c r="H22" i="3"/>
  <c r="D26" i="5"/>
  <c r="H28" i="3"/>
  <c r="G60" i="28367"/>
  <c r="G89" i="28367"/>
  <c r="C70" i="680"/>
  <c r="B61" i="680"/>
  <c r="G91" i="28367"/>
  <c r="H35" i="28340"/>
  <c r="H38" i="28340"/>
  <c r="E70" i="680"/>
  <c r="H34" i="3"/>
  <c r="H37" i="3"/>
  <c r="B57" i="680"/>
  <c r="B48" i="680"/>
  <c r="C44" i="680"/>
  <c r="C45" i="680"/>
  <c r="G43" i="680"/>
  <c r="G44" i="680"/>
  <c r="G45" i="680"/>
  <c r="G72" i="680"/>
  <c r="E43" i="680"/>
  <c r="E44" i="680"/>
  <c r="E45" i="680"/>
  <c r="E72" i="680"/>
  <c r="B59" i="680"/>
  <c r="B53" i="680"/>
  <c r="B63" i="680"/>
  <c r="B62" i="680"/>
  <c r="B51" i="680"/>
  <c r="B56" i="680"/>
  <c r="B67" i="680"/>
  <c r="B50" i="680"/>
  <c r="E58" i="1"/>
  <c r="G58" i="1"/>
  <c r="E61" i="1"/>
  <c r="G61" i="1"/>
  <c r="E15" i="5"/>
  <c r="E28" i="5"/>
  <c r="F37" i="3"/>
  <c r="B52" i="680"/>
  <c r="B54" i="680"/>
  <c r="B58" i="680"/>
  <c r="B60" i="680"/>
  <c r="B64" i="680"/>
  <c r="B68" i="680"/>
  <c r="B66" i="680"/>
  <c r="B69" i="680"/>
  <c r="B16" i="680"/>
  <c r="B23" i="680"/>
  <c r="B20" i="680"/>
  <c r="B19" i="680"/>
  <c r="B26" i="680"/>
  <c r="B17" i="680"/>
  <c r="B22" i="680"/>
  <c r="B27" i="680"/>
  <c r="B13" i="680"/>
  <c r="B21" i="680"/>
  <c r="B37" i="680"/>
  <c r="B36" i="680"/>
  <c r="B40" i="680"/>
  <c r="B41" i="680"/>
  <c r="B12" i="680"/>
  <c r="B28" i="680"/>
  <c r="B14" i="680"/>
  <c r="B32" i="680"/>
  <c r="B43" i="680"/>
  <c r="B44" i="680"/>
  <c r="B18" i="680"/>
  <c r="B34" i="680"/>
  <c r="B33" i="680"/>
  <c r="B15" i="680"/>
  <c r="B29" i="680"/>
  <c r="B10" i="680"/>
  <c r="B35" i="680"/>
  <c r="C72" i="680"/>
  <c r="B70" i="680"/>
  <c r="E26" i="5"/>
  <c r="F15" i="5"/>
  <c r="F26" i="5"/>
  <c r="H41" i="28340"/>
  <c r="H42" i="28340"/>
  <c r="H44" i="28340"/>
  <c r="B30" i="680"/>
  <c r="B24" i="680"/>
  <c r="B38" i="680"/>
  <c r="B45" i="680"/>
  <c r="B72" i="680"/>
  <c r="H49" i="28340"/>
  <c r="H47" i="28340"/>
  <c r="I44" i="28340"/>
</calcChain>
</file>

<file path=xl/sharedStrings.xml><?xml version="1.0" encoding="utf-8"?>
<sst xmlns="http://schemas.openxmlformats.org/spreadsheetml/2006/main" count="458" uniqueCount="352">
  <si>
    <t>PRESBYTERIAN COMMITTEE ON THE SELF-DEVELOPMENT OF PEOPLE</t>
  </si>
  <si>
    <t>PRESBYTERIAN CHURCH (USA)</t>
  </si>
  <si>
    <t>Investments</t>
  </si>
  <si>
    <t>Total Investments</t>
  </si>
  <si>
    <t>Other Assets</t>
  </si>
  <si>
    <t>Total Other Assets</t>
  </si>
  <si>
    <t xml:space="preserve">     TOTAL ASSETS</t>
  </si>
  <si>
    <t>Liabilities</t>
  </si>
  <si>
    <t>Total Liabilities</t>
  </si>
  <si>
    <t>Net Assets</t>
  </si>
  <si>
    <t>Total Net Assets</t>
  </si>
  <si>
    <t xml:space="preserve">     TOTAL LIABILITIES &amp; NET ASSETS</t>
  </si>
  <si>
    <t>PROGRESSION OF NET ASSETS</t>
  </si>
  <si>
    <t>Beginning</t>
  </si>
  <si>
    <t>YTD</t>
  </si>
  <si>
    <t xml:space="preserve">Ending </t>
  </si>
  <si>
    <t>Balance</t>
  </si>
  <si>
    <t>Revenue</t>
  </si>
  <si>
    <t>Expense</t>
  </si>
  <si>
    <t>TOTAL NET ASSETS</t>
  </si>
  <si>
    <t>Page 2</t>
  </si>
  <si>
    <t>BUDGET</t>
  </si>
  <si>
    <t xml:space="preserve">  OGHS (Allocated 32%)</t>
  </si>
  <si>
    <t>EXPENDITURES:</t>
  </si>
  <si>
    <t xml:space="preserve">  Salaries &amp; Benefits</t>
  </si>
  <si>
    <t xml:space="preserve">  Administration</t>
  </si>
  <si>
    <t xml:space="preserve">  Travel</t>
  </si>
  <si>
    <t xml:space="preserve">  Meeting Expense</t>
  </si>
  <si>
    <t xml:space="preserve">  Presby &amp; Synod Grants</t>
  </si>
  <si>
    <t xml:space="preserve">     TOTAL EXPENDITURES</t>
  </si>
  <si>
    <t xml:space="preserve">  OGHS (Designated)</t>
  </si>
  <si>
    <t>Variance</t>
  </si>
  <si>
    <t>Expenses</t>
  </si>
  <si>
    <t>Over (-) or</t>
  </si>
  <si>
    <t>Through</t>
  </si>
  <si>
    <t>Y-T-D</t>
  </si>
  <si>
    <t>Under</t>
  </si>
  <si>
    <t>Annual</t>
  </si>
  <si>
    <t>Available</t>
  </si>
  <si>
    <t>Budget</t>
  </si>
  <si>
    <t>YTD Budget</t>
  </si>
  <si>
    <t xml:space="preserve">                               A D M I N I S T R A T I V E   C O S T S</t>
  </si>
  <si>
    <t xml:space="preserve">     SALARIES &amp; BENEFITS</t>
  </si>
  <si>
    <t xml:space="preserve">     ADMINISTRATION</t>
  </si>
  <si>
    <t xml:space="preserve">          Copy Expense</t>
  </si>
  <si>
    <t xml:space="preserve">          Postage</t>
  </si>
  <si>
    <t xml:space="preserve">          Telephone</t>
  </si>
  <si>
    <t xml:space="preserve">          Computer Hardware</t>
  </si>
  <si>
    <t xml:space="preserve">          Office Expense</t>
  </si>
  <si>
    <t xml:space="preserve">          Maintenance Office Equip</t>
  </si>
  <si>
    <t xml:space="preserve">          Staff Career Development</t>
  </si>
  <si>
    <t xml:space="preserve">          Contingency</t>
  </si>
  <si>
    <t xml:space="preserve">          Books &amp; Subscriptions</t>
  </si>
  <si>
    <t xml:space="preserve">          Membership Dues</t>
  </si>
  <si>
    <t xml:space="preserve">          Office Equipment</t>
  </si>
  <si>
    <t xml:space="preserve">          PE&amp;I Resources</t>
  </si>
  <si>
    <t xml:space="preserve">     TOTAL ADMINISTRATION</t>
  </si>
  <si>
    <t xml:space="preserve">     TRAVEL</t>
  </si>
  <si>
    <t xml:space="preserve">                Fredic Walls</t>
  </si>
  <si>
    <t xml:space="preserve">                Cynthia White</t>
  </si>
  <si>
    <t xml:space="preserve">                Patty Lane</t>
  </si>
  <si>
    <t xml:space="preserve">     TOTAL TRAVEL</t>
  </si>
  <si>
    <t xml:space="preserve">     MEETING EXPENSE</t>
  </si>
  <si>
    <t xml:space="preserve">          National Committee</t>
  </si>
  <si>
    <t xml:space="preserve">          Steering Committee</t>
  </si>
  <si>
    <t xml:space="preserve">          General Assembly</t>
  </si>
  <si>
    <t xml:space="preserve">          Other Meetings</t>
  </si>
  <si>
    <t xml:space="preserve">          Personnel Committee</t>
  </si>
  <si>
    <t xml:space="preserve">          Certification Committee</t>
  </si>
  <si>
    <t xml:space="preserve">     TOTAL MEETING EXPENSE</t>
  </si>
  <si>
    <t xml:space="preserve">     INFO &amp; INTERPRETATION</t>
  </si>
  <si>
    <t xml:space="preserve">          Other Committee Resources</t>
  </si>
  <si>
    <t xml:space="preserve">     TOTAL INFO &amp; INTERPRET</t>
  </si>
  <si>
    <t xml:space="preserve">     GRANTS</t>
  </si>
  <si>
    <t xml:space="preserve">          Presbytery &amp; Synod</t>
  </si>
  <si>
    <t xml:space="preserve">     TOTAL PROGRAM GRANTS</t>
  </si>
  <si>
    <t xml:space="preserve">TOTAL ADMINISTRATIVE </t>
  </si>
  <si>
    <t xml:space="preserve">                               P R O G R A M  C O S T S </t>
  </si>
  <si>
    <t xml:space="preserve">              Fredic Walls</t>
  </si>
  <si>
    <t xml:space="preserve">              Cynthia White</t>
  </si>
  <si>
    <t xml:space="preserve">              Patty Lane</t>
  </si>
  <si>
    <t xml:space="preserve">              Other Staff</t>
  </si>
  <si>
    <t xml:space="preserve">        National Committee</t>
  </si>
  <si>
    <t xml:space="preserve">        South Task Force</t>
  </si>
  <si>
    <t xml:space="preserve">        Midwest Task Force</t>
  </si>
  <si>
    <t xml:space="preserve">        West Task Force</t>
  </si>
  <si>
    <t xml:space="preserve">        International Task Force</t>
  </si>
  <si>
    <t xml:space="preserve">        Northeast Task Force</t>
  </si>
  <si>
    <t xml:space="preserve">        Promo, Educ &amp; Interpret Cmte</t>
  </si>
  <si>
    <t xml:space="preserve">        International</t>
  </si>
  <si>
    <t xml:space="preserve">        Domestic</t>
  </si>
  <si>
    <t xml:space="preserve">        Presbytery &amp; Synod</t>
  </si>
  <si>
    <t>TOTAL PROGRAM COSTS</t>
  </si>
  <si>
    <t>TOTAL EXPENDITURES</t>
  </si>
  <si>
    <t>Page 4</t>
  </si>
  <si>
    <t>AUTHORIZED</t>
  </si>
  <si>
    <t>PAID</t>
  </si>
  <si>
    <t>PAYABLE</t>
  </si>
  <si>
    <t>MIDWEST TASK FORCE</t>
  </si>
  <si>
    <t>NORTHEAST TASK FORCE</t>
  </si>
  <si>
    <t>SOUTH TASK FORCE</t>
  </si>
  <si>
    <t>WEST TASK FORCE</t>
  </si>
  <si>
    <t>Page 6</t>
  </si>
  <si>
    <t xml:space="preserve">                Other Staff</t>
  </si>
  <si>
    <t>DETAIL COMPARISON OF ACTUAL EXPENDITURES TO BUDGET AS OF MARCH 31, 1999</t>
  </si>
  <si>
    <t xml:space="preserve">        Self Study Task Force</t>
  </si>
  <si>
    <t xml:space="preserve">        Other Meetings</t>
  </si>
  <si>
    <t xml:space="preserve">  Rescinded Projects</t>
  </si>
  <si>
    <t xml:space="preserve">                               P R O G R A M   C O S T S </t>
  </si>
  <si>
    <t xml:space="preserve">  OGHS (Allocated 32%)                                    </t>
  </si>
  <si>
    <t xml:space="preserve">        Director</t>
  </si>
  <si>
    <t xml:space="preserve">        Associate, Program Administration</t>
  </si>
  <si>
    <t xml:space="preserve">         Copy Expense</t>
  </si>
  <si>
    <t xml:space="preserve">         Postage</t>
  </si>
  <si>
    <t xml:space="preserve">         Telephone</t>
  </si>
  <si>
    <t xml:space="preserve">         Computer Hardware</t>
  </si>
  <si>
    <t xml:space="preserve">         Books &amp; Subscriptions</t>
  </si>
  <si>
    <t xml:space="preserve">         Other Committee Resources</t>
  </si>
  <si>
    <t xml:space="preserve">         Staff Career Development</t>
  </si>
  <si>
    <t xml:space="preserve">         Internet</t>
  </si>
  <si>
    <t xml:space="preserve">  Sale of Resources</t>
  </si>
  <si>
    <t>Northeast Task Force</t>
  </si>
  <si>
    <t>Midwest Task Force</t>
  </si>
  <si>
    <t>South Task Force</t>
  </si>
  <si>
    <t>West Task Force</t>
  </si>
  <si>
    <t>RESCINDED</t>
  </si>
  <si>
    <t>sub 4115</t>
  </si>
  <si>
    <t>sub 4070</t>
  </si>
  <si>
    <t>sub 4075</t>
  </si>
  <si>
    <t>sub 4060</t>
  </si>
  <si>
    <t>sub 4080</t>
  </si>
  <si>
    <t>sub 4085</t>
  </si>
  <si>
    <t>sub 4090</t>
  </si>
  <si>
    <t>Administrative Fees for Site Visits</t>
  </si>
  <si>
    <t>Page 7</t>
  </si>
  <si>
    <t>STATEMENT OF ACTIVITIES AND CHANGE IN NET ASSETS</t>
  </si>
  <si>
    <t>PNC Bank</t>
  </si>
  <si>
    <t>Presbyterian Investment Loan Program</t>
  </si>
  <si>
    <t>Advances/Prepaid Expenses</t>
  </si>
  <si>
    <t>Accounts Payable - Domestic Projects</t>
  </si>
  <si>
    <t>Accounts Payable - International Projects</t>
  </si>
  <si>
    <t xml:space="preserve">            ASSETS</t>
  </si>
  <si>
    <t xml:space="preserve"> </t>
  </si>
  <si>
    <t xml:space="preserve">  Realized &amp; Unrealized Net Gains (Losses)</t>
  </si>
  <si>
    <t xml:space="preserve">  Specific Designations</t>
  </si>
  <si>
    <t xml:space="preserve">                     Preliminary, Subject to Audit</t>
  </si>
  <si>
    <t>Actual</t>
  </si>
  <si>
    <t>DETAIL COMPARISON OF ACTUAL EXPENDITURES TO BUDGET</t>
  </si>
  <si>
    <t xml:space="preserve">         Membership Dues</t>
  </si>
  <si>
    <t xml:space="preserve">         Middle Governing Body Events/Training</t>
  </si>
  <si>
    <t>SOURCES OF FUNDING:</t>
  </si>
  <si>
    <t>INCREASE(DECREASE) IN NET ASSETS:</t>
  </si>
  <si>
    <t xml:space="preserve">  Program Resources/Training/Education</t>
  </si>
  <si>
    <t xml:space="preserve">     PROGRAM RES/TRAINING/EDUC</t>
  </si>
  <si>
    <t xml:space="preserve">  Interest Income &amp; Gain/Loss</t>
  </si>
  <si>
    <t xml:space="preserve">     TOTAL SOURCES OF FUNDING</t>
  </si>
  <si>
    <t xml:space="preserve">     TOTAL PROGRAM RESOURCES</t>
  </si>
  <si>
    <t>As % of</t>
  </si>
  <si>
    <t xml:space="preserve">  Interest Income - PNC Bank</t>
  </si>
  <si>
    <t xml:space="preserve">  Interest Income - PILP Investment</t>
  </si>
  <si>
    <t>Page 1</t>
  </si>
  <si>
    <t>836666/910023</t>
  </si>
  <si>
    <t xml:space="preserve">        Steering Committee</t>
  </si>
  <si>
    <t xml:space="preserve">  ECO's</t>
  </si>
  <si>
    <t xml:space="preserve">  PCF Endowments </t>
  </si>
  <si>
    <t>Page 3</t>
  </si>
  <si>
    <t>Accounts Payable - Accruals</t>
  </si>
  <si>
    <t>Prior Year</t>
  </si>
  <si>
    <t xml:space="preserve">         Office Supplies</t>
  </si>
  <si>
    <t xml:space="preserve">         Promotion</t>
  </si>
  <si>
    <t xml:space="preserve">       Salaries &amp; Benefits</t>
  </si>
  <si>
    <t>* Note - This amount includes   $67,384 Director support - Compassion, Peace and Justice</t>
  </si>
  <si>
    <t xml:space="preserve">         Community Outreach</t>
  </si>
  <si>
    <t xml:space="preserve">  Endowment Income </t>
  </si>
  <si>
    <t>STATEMENT OF FINANCIAL POSITION</t>
  </si>
  <si>
    <t xml:space="preserve">        Churchwide Relations Committee</t>
  </si>
  <si>
    <t xml:space="preserve">  Management Services </t>
  </si>
  <si>
    <t xml:space="preserve">        Community Relations Committee</t>
  </si>
  <si>
    <t xml:space="preserve">  Resource Sales (less cost of gds sold)</t>
  </si>
  <si>
    <t xml:space="preserve"> calculation at the bottom of the Domestic project sheet. </t>
  </si>
  <si>
    <t xml:space="preserve"> calculation at the bottom of the International project sheet.</t>
  </si>
  <si>
    <t>2012 Projects</t>
  </si>
  <si>
    <t>SI07000</t>
  </si>
  <si>
    <t>SI07002</t>
  </si>
  <si>
    <t>through</t>
  </si>
  <si>
    <t>PROJECTS</t>
  </si>
  <si>
    <t>TOTAL 2012 PROJECTS AUTHORIZED</t>
  </si>
  <si>
    <t>TOTAL INTERNATIONAL PROJECTS</t>
  </si>
  <si>
    <t>SM11021</t>
  </si>
  <si>
    <t>Warriors on Wheels of Metro Detroit, MI</t>
  </si>
  <si>
    <t xml:space="preserve">         Visioning &amp; Strategy</t>
  </si>
  <si>
    <t xml:space="preserve">         Contingency</t>
  </si>
  <si>
    <t>SI10001</t>
  </si>
  <si>
    <t>Receivable - PMA</t>
  </si>
  <si>
    <t>Accounts Payable - PMA</t>
  </si>
  <si>
    <t>2013 Projects</t>
  </si>
  <si>
    <t>SW12015</t>
  </si>
  <si>
    <t>TOTAL 2013 PROJECTS AUTHORIZED</t>
  </si>
  <si>
    <t xml:space="preserve">  Other Gifts</t>
  </si>
  <si>
    <t xml:space="preserve">  Domestic Program *</t>
  </si>
  <si>
    <t xml:space="preserve">  International Program **</t>
  </si>
  <si>
    <t xml:space="preserve">  Management Services ***</t>
  </si>
  <si>
    <t xml:space="preserve">        Management Services***</t>
  </si>
  <si>
    <t>SI07007</t>
  </si>
  <si>
    <t>Small Scale Sustn Dvlp, West Africa Init, Sierra Leone&amp;Liberia</t>
  </si>
  <si>
    <t>Unrestricted Designated</t>
  </si>
  <si>
    <t>UNRESTRICTED DESIGNATED NET ASSETS:</t>
  </si>
  <si>
    <t xml:space="preserve">        Domestic * see note bottom of Inc Stmt</t>
  </si>
  <si>
    <t xml:space="preserve">        International  ** see note bottom of Inc Stmt</t>
  </si>
  <si>
    <t>SN13010</t>
  </si>
  <si>
    <t>SW12005</t>
  </si>
  <si>
    <t>Amani Community Garden of Encanto, San Diego, CA</t>
  </si>
  <si>
    <t>2014 Projects</t>
  </si>
  <si>
    <t>SM13019</t>
  </si>
  <si>
    <t>Peace Together, Chicago, IL</t>
  </si>
  <si>
    <t>SW13010</t>
  </si>
  <si>
    <t>CARECEN Parent &amp; Student Lead Proj, Los Angeles, CA</t>
  </si>
  <si>
    <t>TOTAL 2014 PROJECTS AUTHORIZED</t>
  </si>
  <si>
    <t>SELF DEVELOPMENT OF PEOPLE</t>
  </si>
  <si>
    <t xml:space="preserve">TOTAL DOMESTIC PROJECTS </t>
  </si>
  <si>
    <t>SN13022</t>
  </si>
  <si>
    <t>Sepa Mujer, Central Islip, Long Island, NY</t>
  </si>
  <si>
    <t>Year-End and Other Accrual</t>
  </si>
  <si>
    <t>SN14003</t>
  </si>
  <si>
    <t>Community Financial Literacy, Portland ME</t>
  </si>
  <si>
    <t>SN14007</t>
  </si>
  <si>
    <t>Pratt Towers Inc, Brooklyn NY</t>
  </si>
  <si>
    <t>SS13034</t>
  </si>
  <si>
    <t>SW13003</t>
  </si>
  <si>
    <t>SW14003</t>
  </si>
  <si>
    <t>SW14006</t>
  </si>
  <si>
    <t>Financial Opportunity Project, Los Angeles CA</t>
  </si>
  <si>
    <t>Kake Tribal Heritage Fdn, Kake AL</t>
  </si>
  <si>
    <t>2015 Projects</t>
  </si>
  <si>
    <t>SM14010</t>
  </si>
  <si>
    <t>Calumet Laurium Holistice Ctr, MI</t>
  </si>
  <si>
    <t>SM14017</t>
  </si>
  <si>
    <t>Unity in Our Community Time Bank, Detroit MI</t>
  </si>
  <si>
    <t>SW14010</t>
  </si>
  <si>
    <t>The Next Door Inc., Hood River OR</t>
  </si>
  <si>
    <t>SW14012</t>
  </si>
  <si>
    <t>African Immigrant Support, San Jose CA</t>
  </si>
  <si>
    <t>TOTAL 2015 PROJECTS AUTHORIZED</t>
  </si>
  <si>
    <t>SI11003</t>
  </si>
  <si>
    <t>SI14001</t>
  </si>
  <si>
    <t>SI14005</t>
  </si>
  <si>
    <t>Sandy Beach Women's Cooperative Society, Belize</t>
  </si>
  <si>
    <t>Trio Farmers in Development Pre-Cop, Belize</t>
  </si>
  <si>
    <t>Seine Bight Village Council, Belize</t>
  </si>
  <si>
    <t>SM14014</t>
  </si>
  <si>
    <t>We the People of Detroit, MI</t>
  </si>
  <si>
    <t>SN14010</t>
  </si>
  <si>
    <t>Asbury Park Statewide Organizing Cmte, NJ</t>
  </si>
  <si>
    <t>SW14001</t>
  </si>
  <si>
    <t>Northern Cheyenne Utilities Cmsn, MT</t>
  </si>
  <si>
    <t xml:space="preserve">Intermediary Partner DPG, India </t>
  </si>
  <si>
    <t xml:space="preserve">Intermediary Partner (CREAS) Regional Ecum Ctr for Consult'g &amp; Svcs </t>
  </si>
  <si>
    <t>CE-MUJER, Dominican Republic</t>
  </si>
  <si>
    <t>SI14007</t>
  </si>
  <si>
    <t>El Paraiso Agriculture Coop, Belize</t>
  </si>
  <si>
    <t>LIABILITIES &amp; NET ASSETS</t>
  </si>
  <si>
    <t>SM15005</t>
  </si>
  <si>
    <t>Capital Park Women's Empwrmnt Proj, Columbus OH</t>
  </si>
  <si>
    <t>SN15005</t>
  </si>
  <si>
    <t>Rockaway Wildfire, Far Rockaway NY</t>
  </si>
  <si>
    <t>SN15006</t>
  </si>
  <si>
    <t>SN15007</t>
  </si>
  <si>
    <t>SN15009</t>
  </si>
  <si>
    <t>SN15014</t>
  </si>
  <si>
    <t>JUNTO , Philadelphia, PA</t>
  </si>
  <si>
    <t>Providence Student Union,  RI</t>
  </si>
  <si>
    <t>Jobs Not Jail, Holyoke, MA</t>
  </si>
  <si>
    <t>ONE DC, Washington, DC</t>
  </si>
  <si>
    <t>SS14018</t>
  </si>
  <si>
    <t>Camden Community Ctr, Camden, AL</t>
  </si>
  <si>
    <t>New Zion City, New Orleans, LA</t>
  </si>
  <si>
    <t>Goat Herd Expansion, Tuscaloosa, AL</t>
  </si>
  <si>
    <t>SW15003</t>
  </si>
  <si>
    <t>SW15005</t>
  </si>
  <si>
    <t>SW15006</t>
  </si>
  <si>
    <t>SW15007</t>
  </si>
  <si>
    <t>Hispanic Affairs Project, Montrose, CO</t>
  </si>
  <si>
    <t>Phat Beets Produce, Oakland CA</t>
  </si>
  <si>
    <t>Skills Development Project, Davis, CA</t>
  </si>
  <si>
    <t>Migrante Organizing &amp; Anti-Labor Traf, San Francisco,  CA</t>
  </si>
  <si>
    <t>SS15005</t>
  </si>
  <si>
    <t>SS15009</t>
  </si>
  <si>
    <t>SEE NOTE</t>
  </si>
  <si>
    <t>We Are Ready to Work, Clarkston GA</t>
  </si>
  <si>
    <t>Preliminary - Subject to Audit</t>
  </si>
  <si>
    <t>2016 DOMESTIC BUDGET</t>
  </si>
  <si>
    <t>2016 PROJECTS AUTHORIZED - Current year</t>
  </si>
  <si>
    <t>2016 REMAINING DOMESTIC BUDGET (Available to allocate)</t>
  </si>
  <si>
    <t>% OF 2016 DOMESTIC BUDGET BY REGION</t>
  </si>
  <si>
    <t>2016 AUTHORIZED PROJECTS - Current year</t>
  </si>
  <si>
    <t>2016 INTERNATIONAL BUDGET</t>
  </si>
  <si>
    <t>2016 AUTHORIZED PROJECTS</t>
  </si>
  <si>
    <t>2016 REMAINING BUDGET</t>
  </si>
  <si>
    <t>2016 Projects</t>
  </si>
  <si>
    <t>TOTAL 2016 PROJECTS AUTHORIZED</t>
  </si>
  <si>
    <t>SM16001</t>
  </si>
  <si>
    <t>Stitching Up Detriot, Detriot  MI</t>
  </si>
  <si>
    <t>SN15012</t>
  </si>
  <si>
    <t>SN15015</t>
  </si>
  <si>
    <t>SN15017</t>
  </si>
  <si>
    <t>Somali Bantu Comm M/A of Lewiston/Auburn, ME</t>
  </si>
  <si>
    <t>Damayan Cleaning Cooperative, New York, NY</t>
  </si>
  <si>
    <t>Wayside Outreach &amp; Development Inc, Brooklyn, NY</t>
  </si>
  <si>
    <t>Olneyville Neighborhood Assn, Providence RI ($5,000 rescind 1/16)</t>
  </si>
  <si>
    <t>SS15010</t>
  </si>
  <si>
    <t>VEGGI Farmer's Coop, New Orleans LA</t>
  </si>
  <si>
    <t>SS15011</t>
  </si>
  <si>
    <t>Equipping, Encour&amp;Empower Wrkrs, Vredenburgh, AL</t>
  </si>
  <si>
    <t>SW14014</t>
  </si>
  <si>
    <t>Families &amp; Criminal Justice, Los Angeles CA</t>
  </si>
  <si>
    <t>SW15008</t>
  </si>
  <si>
    <t>Indigenous Radio Station 94.1FM, Oxnard, CA</t>
  </si>
  <si>
    <t>Page 5</t>
  </si>
  <si>
    <t>SI13001</t>
  </si>
  <si>
    <t>SI16001</t>
  </si>
  <si>
    <t>SI16002</t>
  </si>
  <si>
    <t>Maskall Agriculture Farmers' Coop Society Limited, Belize</t>
  </si>
  <si>
    <t>Los Pequenos Agricultores y Ganaderos de Nago Bank, Belize</t>
  </si>
  <si>
    <t>Presbyterian Church of Rwanda</t>
  </si>
  <si>
    <t>SW16001</t>
  </si>
  <si>
    <t>Community Tenants Association, San Franciso CA</t>
  </si>
  <si>
    <t>SM16007</t>
  </si>
  <si>
    <t>SM16008</t>
  </si>
  <si>
    <t>Flint Democracy Defense League, MI</t>
  </si>
  <si>
    <t>SN15013</t>
  </si>
  <si>
    <t>Street Vendor Project, New York, NY</t>
  </si>
  <si>
    <t>SN15016</t>
  </si>
  <si>
    <t>SN16004</t>
  </si>
  <si>
    <t>New York State Youth Leadership Council, NY</t>
  </si>
  <si>
    <t>SS16001</t>
  </si>
  <si>
    <t>Bolitas Harvesters Association, Immokalee, FL</t>
  </si>
  <si>
    <t>Nobody Leaves Mid-Hudson, Poughkeepsie, NY</t>
  </si>
  <si>
    <t xml:space="preserve">        Associate, Church/Communitywide Relations</t>
  </si>
  <si>
    <t xml:space="preserve">        Mission Specialist</t>
  </si>
  <si>
    <t>Budget Organizing &amp; Lead Dlpmt, Oakland, CA (15,000 rescind)</t>
  </si>
  <si>
    <t>see note</t>
  </si>
  <si>
    <t>Multicult Allnc for a Safe Envir, Albuquerque NM pymt post 7/16</t>
  </si>
  <si>
    <t xml:space="preserve">  Oikocredit Dividend Income</t>
  </si>
  <si>
    <t>November 30, 2016 and 2015</t>
  </si>
  <si>
    <t>For the period ending November 30, 2016 &amp; 2015</t>
  </si>
  <si>
    <t xml:space="preserve">* The actual amount left in 2016 budget for Domestic as of November 30, 2016 is $173,717 for new commitments per the </t>
  </si>
  <si>
    <t>** The actual amount left in 2016 budget for International as of November 30, 2016 is $85,000 for new commitments per the</t>
  </si>
  <si>
    <t xml:space="preserve">        Rescinded Projects as of 11/30/16</t>
  </si>
  <si>
    <t>STATUS OF DOMESTIC PROJECT PAYMENTS FOR THE PERIOD ENDED NOVEMBER 30, 2016</t>
  </si>
  <si>
    <t>STATUS OF INTERNATIONAL PROJECT PAYMENTS FOR THE PERIOD ENDED NOVEMBER 30, 2016</t>
  </si>
  <si>
    <t xml:space="preserve">         Miscellaneous</t>
  </si>
  <si>
    <t xml:space="preserve">*** Management Services $78,474 is Director support - Compassion, Peace and Justice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</si>
</sst>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 d\,\ yyyy"/>
    <numFmt numFmtId="167" formatCode="0_);\(0\)"/>
    <numFmt numFmtId="168" formatCode="m/d/yyyy;@"/>
  </numFmts>
  <fonts count="7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Helv"/>
    </font>
    <font>
      <sz val="10"/>
      <name val="Helv"/>
    </font>
    <font>
      <sz val="8"/>
      <name val="Helv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8"/>
      <name val="Helv"/>
    </font>
    <font>
      <b/>
      <sz val="10"/>
      <name val="Swis721 BlkEx BT"/>
      <family val="2"/>
    </font>
    <font>
      <b/>
      <sz val="10"/>
      <name val="CG Times (W1)"/>
      <family val="1"/>
    </font>
    <font>
      <b/>
      <sz val="8"/>
      <name val="CG Times (W1)"/>
      <family val="1"/>
    </font>
    <font>
      <b/>
      <sz val="11"/>
      <name val="Helv"/>
    </font>
    <font>
      <sz val="10"/>
      <name val="CG Times (W1)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b/>
      <sz val="10"/>
      <color indexed="9"/>
      <name val="Arial"/>
      <family val="2"/>
    </font>
    <font>
      <b/>
      <sz val="10"/>
      <color indexed="14"/>
      <name val="Arial"/>
      <family val="2"/>
    </font>
    <font>
      <sz val="8"/>
      <color indexed="14"/>
      <name val="Arial"/>
      <family val="2"/>
    </font>
    <font>
      <sz val="8"/>
      <color indexed="14"/>
      <name val="Helv"/>
    </font>
    <font>
      <b/>
      <sz val="10"/>
      <color indexed="14"/>
      <name val="Helv"/>
    </font>
    <font>
      <sz val="10"/>
      <color indexed="14"/>
      <name val="Arial"/>
      <family val="2"/>
    </font>
    <font>
      <sz val="8"/>
      <color indexed="23"/>
      <name val="Arial"/>
      <family val="2"/>
    </font>
    <font>
      <sz val="8"/>
      <color indexed="9"/>
      <name val="Arial"/>
      <family val="2"/>
    </font>
    <font>
      <sz val="9"/>
      <color indexed="14"/>
      <name val="Arial"/>
      <family val="2"/>
    </font>
    <font>
      <b/>
      <i/>
      <sz val="8"/>
      <color indexed="14"/>
      <name val="Arial"/>
      <family val="2"/>
    </font>
    <font>
      <b/>
      <sz val="12"/>
      <color indexed="14"/>
      <name val="Arial"/>
      <family val="2"/>
    </font>
    <font>
      <b/>
      <sz val="10"/>
      <color indexed="9"/>
      <name val="Helv"/>
    </font>
    <font>
      <sz val="8"/>
      <color indexed="9"/>
      <name val="Helv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86">
    <xf numFmtId="0" fontId="0" fillId="0" borderId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6" fillId="16" borderId="1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0" fontId="47" fillId="17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3" fillId="7" borderId="1" applyNumberFormat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4" fillId="0" borderId="6" applyNumberFormat="0" applyFill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2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5" fillId="0" borderId="0"/>
    <xf numFmtId="0" fontId="64" fillId="0" borderId="0"/>
    <xf numFmtId="0" fontId="2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5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2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5" fillId="0" borderId="0"/>
    <xf numFmtId="0" fontId="64" fillId="0" borderId="0"/>
    <xf numFmtId="0" fontId="2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2" fillId="0" borderId="0"/>
    <xf numFmtId="0" fontId="69" fillId="0" borderId="0"/>
    <xf numFmtId="0" fontId="69" fillId="0" borderId="0"/>
    <xf numFmtId="0" fontId="65" fillId="0" borderId="0"/>
    <xf numFmtId="0" fontId="64" fillId="0" borderId="0"/>
    <xf numFmtId="0" fontId="2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2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65" fillId="4" borderId="7" applyNumberFormat="0" applyFont="0" applyAlignment="0" applyProtection="0"/>
    <xf numFmtId="0" fontId="64" fillId="4" borderId="7" applyNumberFormat="0" applyFon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0" fontId="56" fillId="16" borderId="8" applyNumberFormat="0" applyAlignment="0" applyProtection="0"/>
    <xf numFmtId="9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40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3" fontId="0" fillId="0" borderId="0" xfId="0" applyNumberFormat="1"/>
    <xf numFmtId="0" fontId="8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 applyBorder="1"/>
    <xf numFmtId="0" fontId="2" fillId="0" borderId="0" xfId="0" applyFont="1"/>
    <xf numFmtId="3" fontId="13" fillId="0" borderId="0" xfId="0" applyNumberFormat="1" applyFont="1"/>
    <xf numFmtId="0" fontId="13" fillId="0" borderId="0" xfId="0" applyFont="1"/>
    <xf numFmtId="3" fontId="13" fillId="0" borderId="0" xfId="0" applyNumberFormat="1" applyFont="1" applyBorder="1"/>
    <xf numFmtId="0" fontId="8" fillId="0" borderId="10" xfId="0" applyNumberFormat="1" applyFont="1" applyBorder="1" applyAlignment="1">
      <alignment horizontal="center"/>
    </xf>
    <xf numFmtId="0" fontId="12" fillId="0" borderId="0" xfId="0" applyFont="1" applyBorder="1"/>
    <xf numFmtId="0" fontId="8" fillId="0" borderId="0" xfId="0" applyFont="1"/>
    <xf numFmtId="0" fontId="14" fillId="0" borderId="0" xfId="0" applyFont="1"/>
    <xf numFmtId="14" fontId="0" fillId="0" borderId="0" xfId="0" applyNumberFormat="1"/>
    <xf numFmtId="0" fontId="0" fillId="0" borderId="0" xfId="0" applyBorder="1"/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15" fillId="0" borderId="0" xfId="0" applyNumberFormat="1" applyFont="1"/>
    <xf numFmtId="0" fontId="7" fillId="0" borderId="0" xfId="0" applyNumberFormat="1" applyFont="1"/>
    <xf numFmtId="14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NumberFormat="1" applyFont="1"/>
    <xf numFmtId="0" fontId="7" fillId="0" borderId="10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left"/>
    </xf>
    <xf numFmtId="0" fontId="16" fillId="0" borderId="0" xfId="0" applyNumberFormat="1" applyFont="1" applyAlignment="1">
      <alignment horizontal="center"/>
    </xf>
    <xf numFmtId="0" fontId="16" fillId="0" borderId="0" xfId="0" applyNumberFormat="1" applyFont="1"/>
    <xf numFmtId="0" fontId="9" fillId="0" borderId="0" xfId="0" applyFont="1"/>
    <xf numFmtId="14" fontId="8" fillId="0" borderId="10" xfId="0" applyNumberFormat="1" applyFont="1" applyBorder="1" applyAlignment="1">
      <alignment horizontal="center"/>
    </xf>
    <xf numFmtId="0" fontId="17" fillId="18" borderId="11" xfId="0" applyNumberFormat="1" applyFont="1" applyFill="1" applyBorder="1"/>
    <xf numFmtId="0" fontId="8" fillId="18" borderId="12" xfId="0" applyNumberFormat="1" applyFont="1" applyFill="1" applyBorder="1"/>
    <xf numFmtId="14" fontId="16" fillId="18" borderId="12" xfId="0" applyNumberFormat="1" applyFont="1" applyFill="1" applyBorder="1" applyAlignment="1">
      <alignment horizontal="center"/>
    </xf>
    <xf numFmtId="0" fontId="16" fillId="18" borderId="12" xfId="0" applyNumberFormat="1" applyFont="1" applyFill="1" applyBorder="1" applyAlignment="1">
      <alignment horizontal="center"/>
    </xf>
    <xf numFmtId="0" fontId="16" fillId="18" borderId="13" xfId="0" applyNumberFormat="1" applyFont="1" applyFill="1" applyBorder="1" applyAlignment="1">
      <alignment horizontal="center"/>
    </xf>
    <xf numFmtId="0" fontId="18" fillId="0" borderId="0" xfId="0" applyNumberFormat="1" applyFont="1"/>
    <xf numFmtId="10" fontId="16" fillId="0" borderId="14" xfId="0" applyNumberFormat="1" applyFont="1" applyBorder="1"/>
    <xf numFmtId="3" fontId="18" fillId="0" borderId="12" xfId="0" applyNumberFormat="1" applyFont="1" applyBorder="1"/>
    <xf numFmtId="3" fontId="18" fillId="0" borderId="13" xfId="0" applyNumberFormat="1" applyFont="1" applyBorder="1"/>
    <xf numFmtId="10" fontId="16" fillId="0" borderId="0" xfId="0" applyNumberFormat="1" applyFont="1"/>
    <xf numFmtId="0" fontId="9" fillId="0" borderId="0" xfId="0" applyNumberFormat="1" applyFont="1"/>
    <xf numFmtId="10" fontId="19" fillId="0" borderId="0" xfId="0" applyNumberFormat="1" applyFont="1"/>
    <xf numFmtId="3" fontId="18" fillId="0" borderId="0" xfId="0" applyNumberFormat="1" applyFont="1" applyBorder="1"/>
    <xf numFmtId="3" fontId="18" fillId="0" borderId="0" xfId="0" applyNumberFormat="1" applyFont="1"/>
    <xf numFmtId="3" fontId="18" fillId="0" borderId="10" xfId="0" applyNumberFormat="1" applyFont="1" applyBorder="1"/>
    <xf numFmtId="3" fontId="18" fillId="0" borderId="15" xfId="0" applyNumberFormat="1" applyFont="1" applyBorder="1"/>
    <xf numFmtId="3" fontId="18" fillId="0" borderId="16" xfId="0" applyNumberFormat="1" applyFont="1" applyBorder="1"/>
    <xf numFmtId="0" fontId="8" fillId="18" borderId="11" xfId="0" applyNumberFormat="1" applyFont="1" applyFill="1" applyBorder="1"/>
    <xf numFmtId="10" fontId="20" fillId="18" borderId="12" xfId="0" applyNumberFormat="1" applyFont="1" applyFill="1" applyBorder="1"/>
    <xf numFmtId="3" fontId="18" fillId="18" borderId="12" xfId="2233" applyNumberFormat="1" applyFont="1" applyFill="1" applyBorder="1"/>
    <xf numFmtId="3" fontId="18" fillId="18" borderId="13" xfId="2233" applyNumberFormat="1" applyFont="1" applyFill="1" applyBorder="1"/>
    <xf numFmtId="3" fontId="19" fillId="0" borderId="0" xfId="0" applyNumberFormat="1" applyFont="1"/>
    <xf numFmtId="0" fontId="17" fillId="18" borderId="11" xfId="0" applyFont="1" applyFill="1" applyBorder="1"/>
    <xf numFmtId="0" fontId="8" fillId="18" borderId="12" xfId="0" applyFont="1" applyFill="1" applyBorder="1"/>
    <xf numFmtId="3" fontId="19" fillId="18" borderId="12" xfId="0" applyNumberFormat="1" applyFont="1" applyFill="1" applyBorder="1"/>
    <xf numFmtId="3" fontId="19" fillId="18" borderId="13" xfId="0" applyNumberFormat="1" applyFont="1" applyFill="1" applyBorder="1"/>
    <xf numFmtId="3" fontId="18" fillId="0" borderId="11" xfId="0" applyNumberFormat="1" applyFont="1" applyBorder="1"/>
    <xf numFmtId="0" fontId="18" fillId="0" borderId="0" xfId="0" applyFont="1"/>
    <xf numFmtId="0" fontId="1" fillId="18" borderId="11" xfId="0" applyFont="1" applyFill="1" applyBorder="1"/>
    <xf numFmtId="10" fontId="7" fillId="18" borderId="12" xfId="0" applyNumberFormat="1" applyFont="1" applyFill="1" applyBorder="1"/>
    <xf numFmtId="3" fontId="18" fillId="18" borderId="12" xfId="0" applyNumberFormat="1" applyFont="1" applyFill="1" applyBorder="1"/>
    <xf numFmtId="3" fontId="18" fillId="18" borderId="13" xfId="0" applyNumberFormat="1" applyFont="1" applyFill="1" applyBorder="1"/>
    <xf numFmtId="3" fontId="21" fillId="0" borderId="0" xfId="0" applyNumberFormat="1" applyFont="1"/>
    <xf numFmtId="0" fontId="7" fillId="18" borderId="11" xfId="0" applyFont="1" applyFill="1" applyBorder="1"/>
    <xf numFmtId="0" fontId="7" fillId="0" borderId="0" xfId="0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23" fillId="18" borderId="12" xfId="0" applyNumberFormat="1" applyFont="1" applyFill="1" applyBorder="1" applyAlignment="1">
      <alignment horizontal="center"/>
    </xf>
    <xf numFmtId="0" fontId="7" fillId="18" borderId="12" xfId="0" applyNumberFormat="1" applyFont="1" applyFill="1" applyBorder="1" applyAlignment="1">
      <alignment horizontal="right"/>
    </xf>
    <xf numFmtId="0" fontId="7" fillId="0" borderId="17" xfId="0" applyNumberFormat="1" applyFont="1" applyBorder="1" applyAlignment="1">
      <alignment horizontal="left"/>
    </xf>
    <xf numFmtId="3" fontId="7" fillId="18" borderId="12" xfId="0" applyNumberFormat="1" applyFont="1" applyFill="1" applyBorder="1"/>
    <xf numFmtId="0" fontId="7" fillId="0" borderId="0" xfId="0" applyNumberFormat="1" applyFont="1" applyBorder="1" applyAlignment="1">
      <alignment horizontal="right"/>
    </xf>
    <xf numFmtId="0" fontId="7" fillId="0" borderId="17" xfId="0" applyFont="1" applyBorder="1"/>
    <xf numFmtId="0" fontId="7" fillId="0" borderId="0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left"/>
    </xf>
    <xf numFmtId="0" fontId="24" fillId="0" borderId="0" xfId="0" applyFont="1"/>
    <xf numFmtId="0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NumberFormat="1"/>
    <xf numFmtId="3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" fontId="23" fillId="18" borderId="12" xfId="0" applyNumberFormat="1" applyFont="1" applyFill="1" applyBorder="1" applyAlignment="1">
      <alignment horizontal="center"/>
    </xf>
    <xf numFmtId="0" fontId="7" fillId="18" borderId="11" xfId="0" applyFont="1" applyFill="1" applyBorder="1" applyAlignment="1">
      <alignment horizontal="left"/>
    </xf>
    <xf numFmtId="0" fontId="25" fillId="0" borderId="0" xfId="0" applyFont="1"/>
    <xf numFmtId="14" fontId="7" fillId="0" borderId="10" xfId="0" applyNumberFormat="1" applyFont="1" applyBorder="1" applyAlignment="1">
      <alignment horizontal="center"/>
    </xf>
    <xf numFmtId="0" fontId="7" fillId="18" borderId="11" xfId="0" applyNumberFormat="1" applyFont="1" applyFill="1" applyBorder="1"/>
    <xf numFmtId="49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1" fontId="12" fillId="0" borderId="0" xfId="0" applyNumberFormat="1" applyFont="1"/>
    <xf numFmtId="41" fontId="12" fillId="0" borderId="0" xfId="0" applyNumberFormat="1" applyFont="1" applyBorder="1"/>
    <xf numFmtId="41" fontId="7" fillId="0" borderId="0" xfId="0" applyNumberFormat="1" applyFont="1"/>
    <xf numFmtId="41" fontId="7" fillId="0" borderId="12" xfId="0" applyNumberFormat="1" applyFont="1" applyBorder="1"/>
    <xf numFmtId="42" fontId="12" fillId="0" borderId="0" xfId="2232" applyNumberFormat="1" applyFont="1" applyBorder="1"/>
    <xf numFmtId="41" fontId="0" fillId="0" borderId="0" xfId="0" applyNumberFormat="1"/>
    <xf numFmtId="0" fontId="22" fillId="0" borderId="0" xfId="0" applyNumberFormat="1" applyFont="1" applyAlignment="1">
      <alignment horizontal="center"/>
    </xf>
    <xf numFmtId="41" fontId="12" fillId="0" borderId="0" xfId="2232" applyNumberFormat="1" applyFont="1" applyBorder="1"/>
    <xf numFmtId="41" fontId="12" fillId="0" borderId="0" xfId="2232" applyNumberFormat="1" applyFont="1"/>
    <xf numFmtId="42" fontId="12" fillId="0" borderId="0" xfId="2232" applyNumberFormat="1" applyFont="1"/>
    <xf numFmtId="41" fontId="7" fillId="18" borderId="12" xfId="0" applyNumberFormat="1" applyFont="1" applyFill="1" applyBorder="1"/>
    <xf numFmtId="41" fontId="7" fillId="18" borderId="13" xfId="0" applyNumberFormat="1" applyFont="1" applyFill="1" applyBorder="1"/>
    <xf numFmtId="0" fontId="27" fillId="0" borderId="0" xfId="0" applyFont="1" applyBorder="1"/>
    <xf numFmtId="0" fontId="26" fillId="0" borderId="0" xfId="0" applyNumberFormat="1" applyFont="1" applyAlignment="1">
      <alignment horizontal="center"/>
    </xf>
    <xf numFmtId="41" fontId="7" fillId="0" borderId="0" xfId="0" applyNumberFormat="1" applyFont="1" applyFill="1"/>
    <xf numFmtId="3" fontId="28" fillId="0" borderId="0" xfId="0" applyNumberFormat="1" applyFont="1"/>
    <xf numFmtId="43" fontId="28" fillId="0" borderId="0" xfId="0" applyNumberFormat="1" applyFont="1"/>
    <xf numFmtId="3" fontId="28" fillId="0" borderId="0" xfId="0" applyNumberFormat="1" applyFont="1" applyFill="1"/>
    <xf numFmtId="0" fontId="28" fillId="0" borderId="0" xfId="0" applyFont="1"/>
    <xf numFmtId="0" fontId="28" fillId="0" borderId="0" xfId="0" applyFont="1" applyFill="1"/>
    <xf numFmtId="0" fontId="28" fillId="0" borderId="0" xfId="0" applyFont="1" applyBorder="1"/>
    <xf numFmtId="3" fontId="30" fillId="0" borderId="0" xfId="0" applyNumberFormat="1" applyFont="1" applyBorder="1"/>
    <xf numFmtId="3" fontId="30" fillId="0" borderId="0" xfId="0" applyNumberFormat="1" applyFont="1"/>
    <xf numFmtId="0" fontId="31" fillId="0" borderId="0" xfId="0" applyFont="1"/>
    <xf numFmtId="3" fontId="32" fillId="0" borderId="0" xfId="0" applyNumberFormat="1" applyFont="1"/>
    <xf numFmtId="0" fontId="30" fillId="0" borderId="0" xfId="0" applyFont="1"/>
    <xf numFmtId="3" fontId="33" fillId="0" borderId="0" xfId="0" applyNumberFormat="1" applyFont="1"/>
    <xf numFmtId="3" fontId="34" fillId="0" borderId="0" xfId="0" applyNumberFormat="1" applyFont="1"/>
    <xf numFmtId="41" fontId="12" fillId="0" borderId="0" xfId="2232" applyNumberFormat="1" applyFont="1" applyFill="1" applyBorder="1"/>
    <xf numFmtId="41" fontId="7" fillId="0" borderId="0" xfId="0" applyNumberFormat="1" applyFont="1" applyBorder="1"/>
    <xf numFmtId="43" fontId="29" fillId="0" borderId="0" xfId="0" applyNumberFormat="1" applyFont="1" applyAlignment="1">
      <alignment horizontal="center"/>
    </xf>
    <xf numFmtId="43" fontId="29" fillId="0" borderId="0" xfId="2232" applyFont="1"/>
    <xf numFmtId="3" fontId="7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41" fontId="7" fillId="0" borderId="0" xfId="0" applyNumberFormat="1" applyFont="1" applyFill="1" applyBorder="1"/>
    <xf numFmtId="3" fontId="23" fillId="0" borderId="0" xfId="0" applyNumberFormat="1" applyFont="1" applyFill="1" applyAlignment="1">
      <alignment horizontal="right"/>
    </xf>
    <xf numFmtId="41" fontId="23" fillId="0" borderId="0" xfId="0" applyNumberFormat="1" applyFont="1" applyFill="1" applyBorder="1"/>
    <xf numFmtId="3" fontId="7" fillId="18" borderId="12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right"/>
    </xf>
    <xf numFmtId="0" fontId="7" fillId="0" borderId="20" xfId="0" applyFont="1" applyBorder="1"/>
    <xf numFmtId="0" fontId="27" fillId="0" borderId="0" xfId="0" applyFont="1"/>
    <xf numFmtId="43" fontId="31" fillId="0" borderId="0" xfId="2232" applyFont="1"/>
    <xf numFmtId="3" fontId="31" fillId="0" borderId="0" xfId="0" applyNumberFormat="1" applyFont="1"/>
    <xf numFmtId="3" fontId="28" fillId="0" borderId="0" xfId="0" applyNumberFormat="1" applyFont="1" applyBorder="1"/>
    <xf numFmtId="0" fontId="35" fillId="0" borderId="0" xfId="0" applyFont="1"/>
    <xf numFmtId="0" fontId="35" fillId="0" borderId="0" xfId="0" applyFont="1" applyFill="1"/>
    <xf numFmtId="3" fontId="27" fillId="0" borderId="0" xfId="0" applyNumberFormat="1" applyFont="1" applyBorder="1"/>
    <xf numFmtId="3" fontId="27" fillId="0" borderId="0" xfId="0" applyNumberFormat="1" applyFont="1"/>
    <xf numFmtId="0" fontId="37" fillId="0" borderId="0" xfId="0" applyFont="1"/>
    <xf numFmtId="165" fontId="28" fillId="0" borderId="0" xfId="2232" applyNumberFormat="1" applyFont="1"/>
    <xf numFmtId="43" fontId="31" fillId="0" borderId="0" xfId="2232" applyFont="1" applyFill="1"/>
    <xf numFmtId="41" fontId="30" fillId="0" borderId="0" xfId="0" applyNumberFormat="1" applyFont="1" applyFill="1"/>
    <xf numFmtId="43" fontId="31" fillId="0" borderId="0" xfId="0" applyNumberFormat="1" applyFont="1"/>
    <xf numFmtId="43" fontId="32" fillId="0" borderId="0" xfId="2232" applyFont="1"/>
    <xf numFmtId="41" fontId="39" fillId="0" borderId="0" xfId="0" applyNumberFormat="1" applyFont="1" applyFill="1" applyBorder="1"/>
    <xf numFmtId="41" fontId="30" fillId="0" borderId="0" xfId="0" applyNumberFormat="1" applyFont="1"/>
    <xf numFmtId="41" fontId="7" fillId="0" borderId="12" xfId="0" applyNumberFormat="1" applyFont="1" applyFill="1" applyBorder="1"/>
    <xf numFmtId="41" fontId="4" fillId="18" borderId="12" xfId="0" applyNumberFormat="1" applyFont="1" applyFill="1" applyBorder="1" applyAlignment="1">
      <alignment horizontal="center"/>
    </xf>
    <xf numFmtId="41" fontId="30" fillId="0" borderId="0" xfId="2232" applyNumberFormat="1" applyFont="1" applyFill="1"/>
    <xf numFmtId="41" fontId="7" fillId="0" borderId="0" xfId="0" applyNumberFormat="1" applyFont="1" applyAlignment="1">
      <alignment horizontal="right"/>
    </xf>
    <xf numFmtId="3" fontId="40" fillId="0" borderId="0" xfId="0" applyNumberFormat="1" applyFont="1"/>
    <xf numFmtId="3" fontId="4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1" fontId="15" fillId="18" borderId="12" xfId="0" applyNumberFormat="1" applyFont="1" applyFill="1" applyBorder="1" applyAlignment="1">
      <alignment horizontal="center"/>
    </xf>
    <xf numFmtId="41" fontId="1" fillId="0" borderId="0" xfId="2232" applyNumberFormat="1" applyFont="1" applyFill="1" applyBorder="1"/>
    <xf numFmtId="41" fontId="1" fillId="0" borderId="0" xfId="2232" applyNumberFormat="1" applyFont="1" applyBorder="1"/>
    <xf numFmtId="41" fontId="7" fillId="18" borderId="12" xfId="2233" applyNumberFormat="1" applyFont="1" applyFill="1" applyBorder="1"/>
    <xf numFmtId="41" fontId="15" fillId="0" borderId="0" xfId="0" applyNumberFormat="1" applyFont="1"/>
    <xf numFmtId="41" fontId="15" fillId="18" borderId="12" xfId="0" applyNumberFormat="1" applyFont="1" applyFill="1" applyBorder="1"/>
    <xf numFmtId="41" fontId="28" fillId="0" borderId="0" xfId="0" applyNumberFormat="1" applyFont="1" applyBorder="1"/>
    <xf numFmtId="0" fontId="29" fillId="0" borderId="0" xfId="0" applyFont="1" applyFill="1" applyBorder="1"/>
    <xf numFmtId="42" fontId="7" fillId="0" borderId="19" xfId="2232" applyNumberFormat="1" applyFont="1" applyBorder="1"/>
    <xf numFmtId="10" fontId="31" fillId="0" borderId="0" xfId="0" applyNumberFormat="1" applyFont="1"/>
    <xf numFmtId="41" fontId="29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/>
    <xf numFmtId="0" fontId="12" fillId="0" borderId="0" xfId="0" applyNumberFormat="1" applyFont="1" applyBorder="1"/>
    <xf numFmtId="0" fontId="0" fillId="0" borderId="0" xfId="0" applyNumberFormat="1" applyAlignment="1">
      <alignment horizontal="center"/>
    </xf>
    <xf numFmtId="3" fontId="7" fillId="0" borderId="0" xfId="0" applyNumberFormat="1" applyFont="1" applyFill="1" applyAlignment="1">
      <alignment horizontal="left"/>
    </xf>
    <xf numFmtId="41" fontId="7" fillId="18" borderId="1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8" fillId="0" borderId="12" xfId="0" applyFont="1" applyBorder="1"/>
    <xf numFmtId="3" fontId="28" fillId="0" borderId="12" xfId="0" applyNumberFormat="1" applyFont="1" applyBorder="1"/>
    <xf numFmtId="0" fontId="28" fillId="18" borderId="12" xfId="0" applyFont="1" applyFill="1" applyBorder="1"/>
    <xf numFmtId="0" fontId="7" fillId="0" borderId="0" xfId="0" applyNumberFormat="1" applyFont="1" applyFill="1" applyBorder="1"/>
    <xf numFmtId="0" fontId="13" fillId="0" borderId="0" xfId="0" applyFont="1" applyFill="1" applyBorder="1"/>
    <xf numFmtId="0" fontId="0" fillId="0" borderId="0" xfId="0" applyFill="1"/>
    <xf numFmtId="0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/>
    </xf>
    <xf numFmtId="42" fontId="12" fillId="0" borderId="0" xfId="2232" applyNumberFormat="1" applyFont="1" applyFill="1"/>
    <xf numFmtId="41" fontId="12" fillId="0" borderId="0" xfId="2232" applyNumberFormat="1" applyFont="1" applyFill="1"/>
    <xf numFmtId="41" fontId="12" fillId="0" borderId="10" xfId="2232" applyNumberFormat="1" applyFont="1" applyFill="1" applyBorder="1"/>
    <xf numFmtId="42" fontId="7" fillId="0" borderId="0" xfId="2232" applyNumberFormat="1" applyFont="1" applyFill="1" applyBorder="1"/>
    <xf numFmtId="42" fontId="12" fillId="0" borderId="0" xfId="2232" applyNumberFormat="1" applyFont="1" applyFill="1" applyBorder="1"/>
    <xf numFmtId="41" fontId="27" fillId="0" borderId="0" xfId="0" applyNumberFormat="1" applyFont="1" applyFill="1" applyBorder="1"/>
    <xf numFmtId="0" fontId="30" fillId="0" borderId="0" xfId="0" applyFont="1" applyFill="1" applyBorder="1"/>
    <xf numFmtId="0" fontId="13" fillId="0" borderId="0" xfId="0" applyFont="1" applyFill="1"/>
    <xf numFmtId="3" fontId="7" fillId="0" borderId="0" xfId="0" applyNumberFormat="1" applyFont="1" applyFill="1" applyBorder="1"/>
    <xf numFmtId="3" fontId="0" fillId="0" borderId="16" xfId="0" applyNumberFormat="1" applyBorder="1"/>
    <xf numFmtId="0" fontId="0" fillId="0" borderId="17" xfId="0" applyBorder="1"/>
    <xf numFmtId="41" fontId="4" fillId="0" borderId="0" xfId="0" applyNumberFormat="1" applyFont="1" applyAlignment="1">
      <alignment horizontal="center"/>
    </xf>
    <xf numFmtId="41" fontId="15" fillId="0" borderId="0" xfId="0" applyNumberFormat="1" applyFont="1" applyAlignment="1">
      <alignment horizontal="center"/>
    </xf>
    <xf numFmtId="41" fontId="3" fillId="0" borderId="0" xfId="0" applyNumberFormat="1" applyFont="1"/>
    <xf numFmtId="41" fontId="12" fillId="0" borderId="0" xfId="2233" applyNumberFormat="1" applyFont="1"/>
    <xf numFmtId="41" fontId="3" fillId="0" borderId="0" xfId="2233" applyNumberFormat="1" applyFont="1"/>
    <xf numFmtId="42" fontId="12" fillId="0" borderId="0" xfId="2233" applyNumberFormat="1" applyFont="1"/>
    <xf numFmtId="0" fontId="3" fillId="0" borderId="0" xfId="0" applyFont="1" applyBorder="1"/>
    <xf numFmtId="0" fontId="2" fillId="0" borderId="17" xfId="0" applyNumberFormat="1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49" fontId="2" fillId="0" borderId="0" xfId="0" applyNumberFormat="1" applyFont="1" applyFill="1" applyBorder="1"/>
    <xf numFmtId="0" fontId="2" fillId="18" borderId="11" xfId="0" applyFont="1" applyFill="1" applyBorder="1"/>
    <xf numFmtId="0" fontId="2" fillId="18" borderId="12" xfId="0" applyFont="1" applyFill="1" applyBorder="1"/>
    <xf numFmtId="0" fontId="2" fillId="0" borderId="0" xfId="0" applyFont="1" applyBorder="1"/>
    <xf numFmtId="41" fontId="2" fillId="0" borderId="0" xfId="0" applyNumberFormat="1" applyFont="1" applyBorder="1"/>
    <xf numFmtId="0" fontId="2" fillId="0" borderId="0" xfId="0" applyNumberFormat="1" applyFont="1"/>
    <xf numFmtId="0" fontId="2" fillId="18" borderId="11" xfId="0" applyNumberFormat="1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right"/>
    </xf>
    <xf numFmtId="0" fontId="2" fillId="0" borderId="17" xfId="0" applyNumberFormat="1" applyFont="1" applyFill="1" applyBorder="1" applyAlignment="1">
      <alignment horizontal="left"/>
    </xf>
    <xf numFmtId="0" fontId="2" fillId="0" borderId="0" xfId="2232" applyNumberFormat="1" applyFont="1"/>
    <xf numFmtId="0" fontId="2" fillId="0" borderId="0" xfId="0" applyNumberFormat="1" applyFont="1" applyFill="1" applyBorder="1" applyAlignment="1">
      <alignment horizontal="left"/>
    </xf>
    <xf numFmtId="0" fontId="2" fillId="0" borderId="17" xfId="0" applyFont="1" applyBorder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Border="1"/>
    <xf numFmtId="0" fontId="2" fillId="18" borderId="11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41" fontId="12" fillId="0" borderId="0" xfId="2233" applyNumberFormat="1" applyFont="1" applyBorder="1"/>
    <xf numFmtId="41" fontId="12" fillId="0" borderId="18" xfId="2233" applyNumberFormat="1" applyFont="1" applyBorder="1"/>
    <xf numFmtId="0" fontId="60" fillId="0" borderId="0" xfId="0" applyFont="1" applyFill="1"/>
    <xf numFmtId="41" fontId="60" fillId="0" borderId="0" xfId="0" applyNumberFormat="1" applyFont="1" applyFill="1"/>
    <xf numFmtId="0" fontId="61" fillId="0" borderId="0" xfId="0" applyFont="1" applyFill="1"/>
    <xf numFmtId="41" fontId="61" fillId="0" borderId="0" xfId="0" applyNumberFormat="1" applyFont="1" applyFill="1"/>
    <xf numFmtId="43" fontId="62" fillId="0" borderId="0" xfId="2232" applyFont="1"/>
    <xf numFmtId="0" fontId="12" fillId="0" borderId="0" xfId="0" applyFont="1" applyFill="1"/>
    <xf numFmtId="41" fontId="12" fillId="0" borderId="0" xfId="2233" applyNumberFormat="1" applyFont="1" applyFill="1"/>
    <xf numFmtId="38" fontId="27" fillId="0" borderId="0" xfId="0" applyNumberFormat="1" applyFont="1" applyFill="1"/>
    <xf numFmtId="0" fontId="27" fillId="0" borderId="0" xfId="0" applyNumberFormat="1" applyFont="1" applyFill="1"/>
    <xf numFmtId="0" fontId="27" fillId="0" borderId="0" xfId="0" applyFont="1" applyFill="1"/>
    <xf numFmtId="164" fontId="27" fillId="0" borderId="0" xfId="0" applyNumberFormat="1" applyFont="1" applyFill="1"/>
    <xf numFmtId="0" fontId="30" fillId="0" borderId="0" xfId="0" applyFont="1" applyFill="1"/>
    <xf numFmtId="41" fontId="59" fillId="19" borderId="0" xfId="0" applyNumberFormat="1" applyFont="1" applyFill="1"/>
    <xf numFmtId="43" fontId="62" fillId="19" borderId="0" xfId="2232" applyFont="1" applyFill="1"/>
    <xf numFmtId="43" fontId="63" fillId="19" borderId="0" xfId="2232" applyFont="1" applyFill="1"/>
    <xf numFmtId="41" fontId="7" fillId="0" borderId="0" xfId="2233" applyNumberFormat="1" applyFont="1" applyFill="1"/>
    <xf numFmtId="3" fontId="23" fillId="18" borderId="22" xfId="0" applyNumberFormat="1" applyFont="1" applyFill="1" applyBorder="1"/>
    <xf numFmtId="3" fontId="23" fillId="18" borderId="23" xfId="0" applyNumberFormat="1" applyFont="1" applyFill="1" applyBorder="1"/>
    <xf numFmtId="41" fontId="23" fillId="18" borderId="23" xfId="0" applyNumberFormat="1" applyFont="1" applyFill="1" applyBorder="1"/>
    <xf numFmtId="0" fontId="66" fillId="0" borderId="0" xfId="0" applyFont="1"/>
    <xf numFmtId="9" fontId="1" fillId="18" borderId="13" xfId="3394" applyFont="1" applyFill="1" applyBorder="1" applyAlignment="1">
      <alignment horizontal="center"/>
    </xf>
    <xf numFmtId="9" fontId="1" fillId="0" borderId="12" xfId="3394" applyFont="1" applyFill="1" applyBorder="1" applyAlignment="1">
      <alignment horizontal="center"/>
    </xf>
    <xf numFmtId="9" fontId="1" fillId="0" borderId="0" xfId="3394" applyFont="1" applyFill="1" applyBorder="1" applyAlignment="1">
      <alignment horizontal="center"/>
    </xf>
    <xf numFmtId="9" fontId="1" fillId="0" borderId="0" xfId="3394" applyFont="1" applyAlignment="1">
      <alignment horizontal="center"/>
    </xf>
    <xf numFmtId="9" fontId="1" fillId="0" borderId="12" xfId="3394" applyFont="1" applyBorder="1" applyAlignment="1">
      <alignment horizontal="center"/>
    </xf>
    <xf numFmtId="9" fontId="1" fillId="0" borderId="0" xfId="3394" applyFont="1" applyBorder="1" applyAlignment="1">
      <alignment horizontal="center"/>
    </xf>
    <xf numFmtId="9" fontId="30" fillId="0" borderId="0" xfId="3394" applyFont="1" applyAlignment="1">
      <alignment horizontal="center"/>
    </xf>
    <xf numFmtId="9" fontId="67" fillId="0" borderId="0" xfId="3394" applyFont="1" applyAlignment="1">
      <alignment horizontal="right"/>
    </xf>
    <xf numFmtId="0" fontId="1" fillId="18" borderId="12" xfId="0" applyFont="1" applyFill="1" applyBorder="1"/>
    <xf numFmtId="37" fontId="1" fillId="18" borderId="12" xfId="0" applyNumberFormat="1" applyFont="1" applyFill="1" applyBorder="1"/>
    <xf numFmtId="9" fontId="1" fillId="0" borderId="0" xfId="0" applyNumberFormat="1" applyFont="1" applyAlignment="1">
      <alignment horizontal="center"/>
    </xf>
    <xf numFmtId="3" fontId="0" fillId="0" borderId="0" xfId="0" applyNumberFormat="1" applyFill="1"/>
    <xf numFmtId="37" fontId="0" fillId="0" borderId="16" xfId="0" applyNumberFormat="1" applyFill="1" applyBorder="1"/>
    <xf numFmtId="0" fontId="28" fillId="18" borderId="18" xfId="0" applyFont="1" applyFill="1" applyBorder="1"/>
    <xf numFmtId="0" fontId="28" fillId="0" borderId="18" xfId="0" applyFont="1" applyBorder="1"/>
    <xf numFmtId="0" fontId="1" fillId="0" borderId="0" xfId="0" applyNumberFormat="1" applyFont="1"/>
    <xf numFmtId="9" fontId="68" fillId="0" borderId="0" xfId="3394" applyFont="1" applyFill="1"/>
    <xf numFmtId="0" fontId="7" fillId="0" borderId="0" xfId="0" applyNumberFormat="1" applyFont="1" applyFill="1" applyAlignment="1">
      <alignment horizontal="center"/>
    </xf>
    <xf numFmtId="9" fontId="11" fillId="0" borderId="0" xfId="3394" applyFont="1" applyFill="1"/>
    <xf numFmtId="0" fontId="36" fillId="0" borderId="0" xfId="0" applyFont="1" applyFill="1"/>
    <xf numFmtId="0" fontId="11" fillId="0" borderId="0" xfId="0" applyFont="1" applyFill="1"/>
    <xf numFmtId="49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15" fillId="0" borderId="0" xfId="0" applyNumberFormat="1" applyFont="1" applyFill="1"/>
    <xf numFmtId="0" fontId="15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4" fontId="7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right"/>
    </xf>
    <xf numFmtId="3" fontId="12" fillId="0" borderId="10" xfId="0" applyNumberFormat="1" applyFont="1" applyFill="1" applyBorder="1" applyAlignment="1">
      <alignment horizontal="center"/>
    </xf>
    <xf numFmtId="0" fontId="12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37" fontId="0" fillId="0" borderId="0" xfId="0" applyNumberFormat="1" applyFill="1"/>
    <xf numFmtId="3" fontId="2" fillId="0" borderId="0" xfId="0" applyNumberFormat="1" applyFont="1" applyFill="1"/>
    <xf numFmtId="3" fontId="13" fillId="0" borderId="0" xfId="0" applyNumberFormat="1" applyFont="1" applyFill="1"/>
    <xf numFmtId="0" fontId="2" fillId="0" borderId="0" xfId="0" applyNumberFormat="1" applyFont="1" applyFill="1"/>
    <xf numFmtId="41" fontId="12" fillId="0" borderId="0" xfId="2232" applyNumberFormat="1" applyFont="1" applyFill="1" applyBorder="1" applyAlignment="1">
      <alignment horizontal="right"/>
    </xf>
    <xf numFmtId="0" fontId="27" fillId="0" borderId="0" xfId="0" applyFont="1" applyFill="1" applyBorder="1"/>
    <xf numFmtId="42" fontId="7" fillId="0" borderId="0" xfId="2232" applyNumberFormat="1" applyFont="1" applyFill="1" applyBorder="1" applyAlignment="1">
      <alignment horizontal="center"/>
    </xf>
    <xf numFmtId="41" fontId="28" fillId="0" borderId="0" xfId="0" applyNumberFormat="1" applyFont="1" applyFill="1" applyBorder="1"/>
    <xf numFmtId="3" fontId="12" fillId="0" borderId="0" xfId="0" applyNumberFormat="1" applyFont="1" applyFill="1" applyBorder="1"/>
    <xf numFmtId="3" fontId="27" fillId="0" borderId="0" xfId="0" applyNumberFormat="1" applyFont="1" applyFill="1" applyBorder="1"/>
    <xf numFmtId="42" fontId="27" fillId="0" borderId="0" xfId="0" applyNumberFormat="1" applyFont="1" applyFill="1" applyBorder="1"/>
    <xf numFmtId="41" fontId="2" fillId="0" borderId="0" xfId="2232" applyNumberFormat="1" applyFont="1" applyFill="1"/>
    <xf numFmtId="165" fontId="27" fillId="0" borderId="0" xfId="2232" applyNumberFormat="1" applyFont="1" applyFill="1" applyBorder="1"/>
    <xf numFmtId="42" fontId="7" fillId="0" borderId="12" xfId="2232" applyNumberFormat="1" applyFont="1" applyFill="1" applyBorder="1"/>
    <xf numFmtId="41" fontId="12" fillId="0" borderId="0" xfId="0" applyNumberFormat="1" applyFont="1" applyFill="1" applyBorder="1"/>
    <xf numFmtId="41" fontId="27" fillId="0" borderId="0" xfId="0" applyNumberFormat="1" applyFont="1" applyFill="1"/>
    <xf numFmtId="42" fontId="7" fillId="0" borderId="24" xfId="2232" applyNumberFormat="1" applyFont="1" applyFill="1" applyBorder="1"/>
    <xf numFmtId="3" fontId="30" fillId="0" borderId="0" xfId="0" applyNumberFormat="1" applyFont="1" applyFill="1" applyBorder="1"/>
    <xf numFmtId="3" fontId="42" fillId="0" borderId="0" xfId="0" applyNumberFormat="1" applyFont="1" applyFill="1" applyBorder="1"/>
    <xf numFmtId="0" fontId="1" fillId="0" borderId="0" xfId="0" applyFont="1" applyFill="1"/>
    <xf numFmtId="0" fontId="25" fillId="0" borderId="0" xfId="0" applyFont="1" applyFill="1"/>
    <xf numFmtId="0" fontId="7" fillId="0" borderId="0" xfId="0" applyFont="1" applyFill="1" applyBorder="1" applyAlignment="1">
      <alignment horizontal="right"/>
    </xf>
    <xf numFmtId="3" fontId="1" fillId="18" borderId="12" xfId="0" applyNumberFormat="1" applyFont="1" applyFill="1" applyBorder="1"/>
    <xf numFmtId="3" fontId="1" fillId="0" borderId="0" xfId="0" applyNumberFormat="1" applyFont="1" applyFill="1" applyAlignment="1">
      <alignment horizontal="right"/>
    </xf>
    <xf numFmtId="41" fontId="7" fillId="0" borderId="0" xfId="2232" applyNumberFormat="1" applyFont="1" applyFill="1" applyBorder="1"/>
    <xf numFmtId="41" fontId="1" fillId="0" borderId="0" xfId="0" applyNumberFormat="1" applyFont="1" applyAlignment="1">
      <alignment horizontal="right"/>
    </xf>
    <xf numFmtId="3" fontId="0" fillId="0" borderId="19" xfId="0" applyNumberFormat="1" applyBorder="1"/>
    <xf numFmtId="42" fontId="2" fillId="0" borderId="0" xfId="2233" applyNumberFormat="1" applyFont="1"/>
    <xf numFmtId="42" fontId="12" fillId="0" borderId="19" xfId="2233" applyNumberFormat="1" applyFont="1" applyBorder="1"/>
    <xf numFmtId="41" fontId="12" fillId="0" borderId="18" xfId="2233" applyNumberFormat="1" applyFont="1" applyFill="1" applyBorder="1"/>
    <xf numFmtId="41" fontId="2" fillId="0" borderId="0" xfId="2232" applyNumberFormat="1" applyFont="1" applyFill="1" applyBorder="1"/>
    <xf numFmtId="0" fontId="38" fillId="0" borderId="0" xfId="0" applyNumberFormat="1" applyFont="1" applyFill="1" applyAlignment="1">
      <alignment horizontal="center"/>
    </xf>
    <xf numFmtId="42" fontId="0" fillId="0" borderId="0" xfId="0" applyNumberFormat="1" applyFill="1"/>
    <xf numFmtId="41" fontId="12" fillId="0" borderId="0" xfId="2233" applyNumberFormat="1" applyFont="1" applyFill="1" applyBorder="1"/>
    <xf numFmtId="37" fontId="0" fillId="0" borderId="18" xfId="0" applyNumberFormat="1" applyFill="1" applyBorder="1"/>
    <xf numFmtId="42" fontId="12" fillId="0" borderId="19" xfId="2233" applyNumberFormat="1" applyFont="1" applyFill="1" applyBorder="1"/>
    <xf numFmtId="41" fontId="0" fillId="0" borderId="0" xfId="0" applyNumberFormat="1" applyFill="1"/>
    <xf numFmtId="0" fontId="1" fillId="0" borderId="0" xfId="0" applyFont="1" applyFill="1" applyAlignment="1"/>
    <xf numFmtId="0" fontId="1" fillId="0" borderId="0" xfId="0" applyNumberFormat="1" applyFont="1" applyAlignment="1">
      <alignment horizontal="center"/>
    </xf>
    <xf numFmtId="168" fontId="7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18" borderId="12" xfId="0" applyNumberFormat="1" applyFont="1" applyFill="1" applyBorder="1"/>
    <xf numFmtId="41" fontId="1" fillId="0" borderId="0" xfId="0" applyNumberFormat="1" applyFont="1" applyFill="1"/>
    <xf numFmtId="41" fontId="2" fillId="0" borderId="16" xfId="0" applyNumberFormat="1" applyFont="1" applyBorder="1"/>
    <xf numFmtId="2" fontId="1" fillId="20" borderId="25" xfId="0" applyNumberFormat="1" applyFont="1" applyFill="1" applyBorder="1" applyAlignment="1">
      <alignment horizontal="center"/>
    </xf>
    <xf numFmtId="0" fontId="0" fillId="0" borderId="0" xfId="0"/>
    <xf numFmtId="41" fontId="28" fillId="18" borderId="12" xfId="0" applyNumberFormat="1" applyFont="1" applyFill="1" applyBorder="1"/>
    <xf numFmtId="0" fontId="0" fillId="0" borderId="0" xfId="0"/>
    <xf numFmtId="0" fontId="2" fillId="0" borderId="0" xfId="2232" applyNumberFormat="1" applyFont="1" applyFill="1"/>
    <xf numFmtId="0" fontId="0" fillId="0" borderId="0" xfId="0"/>
    <xf numFmtId="0" fontId="1" fillId="0" borderId="0" xfId="0" applyNumberFormat="1" applyFont="1" applyFill="1" applyBorder="1"/>
    <xf numFmtId="37" fontId="1" fillId="0" borderId="0" xfId="0" applyNumberFormat="1" applyFont="1" applyFill="1" applyBorder="1"/>
    <xf numFmtId="0" fontId="0" fillId="0" borderId="0" xfId="0"/>
    <xf numFmtId="0" fontId="23" fillId="18" borderId="11" xfId="0" applyNumberFormat="1" applyFont="1" applyFill="1" applyBorder="1"/>
    <xf numFmtId="0" fontId="24" fillId="18" borderId="12" xfId="0" applyNumberFormat="1" applyFont="1" applyFill="1" applyBorder="1" applyAlignment="1">
      <alignment horizontal="right"/>
    </xf>
    <xf numFmtId="41" fontId="23" fillId="18" borderId="12" xfId="0" applyNumberFormat="1" applyFont="1" applyFill="1" applyBorder="1"/>
    <xf numFmtId="0" fontId="0" fillId="21" borderId="0" xfId="0" applyFill="1"/>
    <xf numFmtId="0" fontId="13" fillId="21" borderId="0" xfId="0" applyFont="1" applyFill="1" applyBorder="1"/>
    <xf numFmtId="0" fontId="13" fillId="21" borderId="0" xfId="0" applyFont="1" applyFill="1"/>
    <xf numFmtId="0" fontId="7" fillId="0" borderId="0" xfId="0" applyFont="1" applyFill="1" applyAlignment="1">
      <alignment horizontal="center"/>
    </xf>
    <xf numFmtId="41" fontId="7" fillId="0" borderId="10" xfId="0" applyNumberFormat="1" applyFont="1" applyFill="1" applyBorder="1"/>
    <xf numFmtId="41" fontId="7" fillId="0" borderId="19" xfId="0" applyNumberFormat="1" applyFont="1" applyFill="1" applyBorder="1"/>
    <xf numFmtId="0" fontId="15" fillId="0" borderId="0" xfId="0" applyNumberFormat="1" applyFont="1" applyFill="1" applyAlignment="1">
      <alignment horizontal="center"/>
    </xf>
    <xf numFmtId="167" fontId="67" fillId="0" borderId="21" xfId="3259" applyNumberFormat="1" applyFont="1" applyBorder="1" applyAlignment="1">
      <alignment horizontal="center" vertical="center"/>
    </xf>
    <xf numFmtId="41" fontId="23" fillId="18" borderId="25" xfId="0" applyNumberFormat="1" applyFont="1" applyFill="1" applyBorder="1"/>
    <xf numFmtId="41" fontId="4" fillId="18" borderId="25" xfId="0" applyNumberFormat="1" applyFont="1" applyFill="1" applyBorder="1" applyAlignment="1">
      <alignment horizontal="center"/>
    </xf>
    <xf numFmtId="41" fontId="7" fillId="18" borderId="25" xfId="0" applyNumberFormat="1" applyFont="1" applyFill="1" applyBorder="1"/>
    <xf numFmtId="0" fontId="0" fillId="0" borderId="0" xfId="0"/>
    <xf numFmtId="9" fontId="0" fillId="0" borderId="0" xfId="0" applyNumberFormat="1" applyFill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1" fillId="0" borderId="0" xfId="0" applyFont="1" applyFill="1" applyBorder="1"/>
    <xf numFmtId="43" fontId="62" fillId="0" borderId="0" xfId="2232" applyFont="1" applyFill="1"/>
    <xf numFmtId="43" fontId="31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41" fontId="7" fillId="0" borderId="16" xfId="0" applyNumberFormat="1" applyFont="1" applyFill="1" applyBorder="1"/>
    <xf numFmtId="41" fontId="2" fillId="0" borderId="16" xfId="0" applyNumberFormat="1" applyFont="1" applyFill="1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41" fontId="2" fillId="0" borderId="0" xfId="2233" applyNumberFormat="1" applyFont="1"/>
    <xf numFmtId="37" fontId="2" fillId="0" borderId="16" xfId="0" applyNumberFormat="1" applyFont="1" applyFill="1" applyBorder="1"/>
    <xf numFmtId="0" fontId="31" fillId="0" borderId="0" xfId="0" applyFont="1" applyFill="1"/>
    <xf numFmtId="43" fontId="12" fillId="0" borderId="0" xfId="2232" applyNumberFormat="1" applyFont="1" applyFill="1" applyBorder="1"/>
    <xf numFmtId="0" fontId="0" fillId="0" borderId="0" xfId="0"/>
    <xf numFmtId="0" fontId="1" fillId="0" borderId="12" xfId="0" applyFont="1" applyFill="1" applyBorder="1"/>
    <xf numFmtId="0" fontId="7" fillId="0" borderId="12" xfId="0" applyNumberFormat="1" applyFont="1" applyFill="1" applyBorder="1" applyAlignment="1">
      <alignment horizontal="right"/>
    </xf>
    <xf numFmtId="41" fontId="7" fillId="0" borderId="25" xfId="0" applyNumberFormat="1" applyFont="1" applyFill="1" applyBorder="1"/>
    <xf numFmtId="0" fontId="0" fillId="0" borderId="0" xfId="0"/>
    <xf numFmtId="41" fontId="2" fillId="21" borderId="0" xfId="0" applyNumberFormat="1" applyFont="1" applyFill="1" applyBorder="1"/>
    <xf numFmtId="0" fontId="2" fillId="21" borderId="0" xfId="2232" applyNumberFormat="1" applyFont="1" applyFill="1"/>
    <xf numFmtId="37" fontId="0" fillId="21" borderId="16" xfId="0" applyNumberFormat="1" applyFill="1" applyBorder="1"/>
    <xf numFmtId="0" fontId="0" fillId="0" borderId="0" xfId="0"/>
    <xf numFmtId="0" fontId="0" fillId="0" borderId="0" xfId="0"/>
    <xf numFmtId="37" fontId="0" fillId="0" borderId="0" xfId="0" applyNumberFormat="1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6" fontId="70" fillId="0" borderId="0" xfId="0" applyNumberFormat="1" applyFont="1" applyFill="1" applyAlignment="1">
      <alignment horizontal="center"/>
    </xf>
    <xf numFmtId="0" fontId="71" fillId="0" borderId="0" xfId="0" applyFont="1" applyAlignment="1">
      <alignment horizontal="center"/>
    </xf>
    <xf numFmtId="0" fontId="0" fillId="0" borderId="0" xfId="0"/>
    <xf numFmtId="0" fontId="70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3586">
    <cellStyle name="20% - Accent1 10" xfId="1"/>
    <cellStyle name="20% - Accent1 11" xfId="2"/>
    <cellStyle name="20% - Accent1 12" xfId="3"/>
    <cellStyle name="20% - Accent1 13" xfId="4"/>
    <cellStyle name="20% - Accent1 14" xfId="5"/>
    <cellStyle name="20% - Accent1 15" xfId="6"/>
    <cellStyle name="20% - Accent1 16" xfId="7"/>
    <cellStyle name="20% - Accent1 17" xfId="8"/>
    <cellStyle name="20% - Accent1 18" xfId="9"/>
    <cellStyle name="20% - Accent1 19" xfId="10"/>
    <cellStyle name="20% - Accent1 2" xfId="11"/>
    <cellStyle name="20% - Accent1 2 2" xfId="12"/>
    <cellStyle name="20% - Accent1 2 2 2" xfId="13"/>
    <cellStyle name="20% - Accent1 2 3" xfId="14"/>
    <cellStyle name="20% - Accent1 2 3 2" xfId="15"/>
    <cellStyle name="20% - Accent1 2 4" xfId="16"/>
    <cellStyle name="20% - Accent1 2 4 2" xfId="17"/>
    <cellStyle name="20% - Accent1 2 5" xfId="18"/>
    <cellStyle name="20% - Accent1 2 5 2" xfId="19"/>
    <cellStyle name="20% - Accent1 2 6" xfId="20"/>
    <cellStyle name="20% - Accent1 20" xfId="21"/>
    <cellStyle name="20% - Accent1 21" xfId="22"/>
    <cellStyle name="20% - Accent1 22" xfId="23"/>
    <cellStyle name="20% - Accent1 3" xfId="24"/>
    <cellStyle name="20% - Accent1 3 2" xfId="25"/>
    <cellStyle name="20% - Accent1 3 2 2" xfId="26"/>
    <cellStyle name="20% - Accent1 3 3" xfId="27"/>
    <cellStyle name="20% - Accent1 3 3 2" xfId="28"/>
    <cellStyle name="20% - Accent1 3 4" xfId="29"/>
    <cellStyle name="20% - Accent1 3 4 2" xfId="30"/>
    <cellStyle name="20% - Accent1 3 5" xfId="31"/>
    <cellStyle name="20% - Accent1 3 5 2" xfId="32"/>
    <cellStyle name="20% - Accent1 3 6" xfId="33"/>
    <cellStyle name="20% - Accent1 4" xfId="34"/>
    <cellStyle name="20% - Accent1 4 2" xfId="35"/>
    <cellStyle name="20% - Accent1 4 2 2" xfId="36"/>
    <cellStyle name="20% - Accent1 4 3" xfId="37"/>
    <cellStyle name="20% - Accent1 4 3 2" xfId="38"/>
    <cellStyle name="20% - Accent1 4 4" xfId="39"/>
    <cellStyle name="20% - Accent1 4 4 2" xfId="40"/>
    <cellStyle name="20% - Accent1 4 5" xfId="41"/>
    <cellStyle name="20% - Accent1 4 5 2" xfId="42"/>
    <cellStyle name="20% - Accent1 4 6" xfId="43"/>
    <cellStyle name="20% - Accent1 5" xfId="44"/>
    <cellStyle name="20% - Accent1 5 2" xfId="45"/>
    <cellStyle name="20% - Accent1 5 2 2" xfId="46"/>
    <cellStyle name="20% - Accent1 5 3" xfId="47"/>
    <cellStyle name="20% - Accent1 5 3 2" xfId="48"/>
    <cellStyle name="20% - Accent1 5 4" xfId="49"/>
    <cellStyle name="20% - Accent1 5 4 2" xfId="50"/>
    <cellStyle name="20% - Accent1 5 5" xfId="51"/>
    <cellStyle name="20% - Accent1 5 5 2" xfId="52"/>
    <cellStyle name="20% - Accent1 5 6" xfId="53"/>
    <cellStyle name="20% - Accent1 6" xfId="54"/>
    <cellStyle name="20% - Accent1 6 2" xfId="55"/>
    <cellStyle name="20% - Accent1 6 2 2" xfId="56"/>
    <cellStyle name="20% - Accent1 6 3" xfId="57"/>
    <cellStyle name="20% - Accent1 6 3 2" xfId="58"/>
    <cellStyle name="20% - Accent1 6 4" xfId="59"/>
    <cellStyle name="20% - Accent1 6 4 2" xfId="60"/>
    <cellStyle name="20% - Accent1 6 5" xfId="61"/>
    <cellStyle name="20% - Accent1 6 5 2" xfId="62"/>
    <cellStyle name="20% - Accent1 6 6" xfId="63"/>
    <cellStyle name="20% - Accent1 7" xfId="64"/>
    <cellStyle name="20% - Accent1 7 2" xfId="65"/>
    <cellStyle name="20% - Accent1 7 2 2" xfId="66"/>
    <cellStyle name="20% - Accent1 7 3" xfId="67"/>
    <cellStyle name="20% - Accent1 7 3 2" xfId="68"/>
    <cellStyle name="20% - Accent1 7 4" xfId="69"/>
    <cellStyle name="20% - Accent1 7 4 2" xfId="70"/>
    <cellStyle name="20% - Accent1 7 5" xfId="71"/>
    <cellStyle name="20% - Accent1 7 5 2" xfId="72"/>
    <cellStyle name="20% - Accent1 7 6" xfId="73"/>
    <cellStyle name="20% - Accent1 8" xfId="74"/>
    <cellStyle name="20% - Accent1 8 2" xfId="75"/>
    <cellStyle name="20% - Accent1 8 2 2" xfId="76"/>
    <cellStyle name="20% - Accent1 8 3" xfId="77"/>
    <cellStyle name="20% - Accent1 8 3 2" xfId="78"/>
    <cellStyle name="20% - Accent1 8 4" xfId="79"/>
    <cellStyle name="20% - Accent1 8 4 2" xfId="80"/>
    <cellStyle name="20% - Accent1 8 5" xfId="81"/>
    <cellStyle name="20% - Accent1 8 5 2" xfId="82"/>
    <cellStyle name="20% - Accent1 8 6" xfId="83"/>
    <cellStyle name="20% - Accent1 9" xfId="84"/>
    <cellStyle name="20% - Accent1 9 2" xfId="85"/>
    <cellStyle name="20% - Accent2 10" xfId="86"/>
    <cellStyle name="20% - Accent2 11" xfId="87"/>
    <cellStyle name="20% - Accent2 12" xfId="88"/>
    <cellStyle name="20% - Accent2 13" xfId="89"/>
    <cellStyle name="20% - Accent2 14" xfId="90"/>
    <cellStyle name="20% - Accent2 15" xfId="91"/>
    <cellStyle name="20% - Accent2 16" xfId="92"/>
    <cellStyle name="20% - Accent2 17" xfId="93"/>
    <cellStyle name="20% - Accent2 18" xfId="94"/>
    <cellStyle name="20% - Accent2 19" xfId="95"/>
    <cellStyle name="20% - Accent2 2" xfId="96"/>
    <cellStyle name="20% - Accent2 2 2" xfId="97"/>
    <cellStyle name="20% - Accent2 2 2 2" xfId="98"/>
    <cellStyle name="20% - Accent2 2 3" xfId="99"/>
    <cellStyle name="20% - Accent2 2 3 2" xfId="100"/>
    <cellStyle name="20% - Accent2 2 4" xfId="101"/>
    <cellStyle name="20% - Accent2 2 4 2" xfId="102"/>
    <cellStyle name="20% - Accent2 2 5" xfId="103"/>
    <cellStyle name="20% - Accent2 2 5 2" xfId="104"/>
    <cellStyle name="20% - Accent2 2 6" xfId="105"/>
    <cellStyle name="20% - Accent2 20" xfId="106"/>
    <cellStyle name="20% - Accent2 21" xfId="107"/>
    <cellStyle name="20% - Accent2 22" xfId="108"/>
    <cellStyle name="20% - Accent2 3" xfId="109"/>
    <cellStyle name="20% - Accent2 3 2" xfId="110"/>
    <cellStyle name="20% - Accent2 3 2 2" xfId="111"/>
    <cellStyle name="20% - Accent2 3 3" xfId="112"/>
    <cellStyle name="20% - Accent2 3 3 2" xfId="113"/>
    <cellStyle name="20% - Accent2 3 4" xfId="114"/>
    <cellStyle name="20% - Accent2 3 4 2" xfId="115"/>
    <cellStyle name="20% - Accent2 3 5" xfId="116"/>
    <cellStyle name="20% - Accent2 3 5 2" xfId="117"/>
    <cellStyle name="20% - Accent2 3 6" xfId="118"/>
    <cellStyle name="20% - Accent2 4" xfId="119"/>
    <cellStyle name="20% - Accent2 4 2" xfId="120"/>
    <cellStyle name="20% - Accent2 4 2 2" xfId="121"/>
    <cellStyle name="20% - Accent2 4 3" xfId="122"/>
    <cellStyle name="20% - Accent2 4 3 2" xfId="123"/>
    <cellStyle name="20% - Accent2 4 4" xfId="124"/>
    <cellStyle name="20% - Accent2 4 4 2" xfId="125"/>
    <cellStyle name="20% - Accent2 4 5" xfId="126"/>
    <cellStyle name="20% - Accent2 4 5 2" xfId="127"/>
    <cellStyle name="20% - Accent2 4 6" xfId="128"/>
    <cellStyle name="20% - Accent2 5" xfId="129"/>
    <cellStyle name="20% - Accent2 5 2" xfId="130"/>
    <cellStyle name="20% - Accent2 5 2 2" xfId="131"/>
    <cellStyle name="20% - Accent2 5 3" xfId="132"/>
    <cellStyle name="20% - Accent2 5 3 2" xfId="133"/>
    <cellStyle name="20% - Accent2 5 4" xfId="134"/>
    <cellStyle name="20% - Accent2 5 4 2" xfId="135"/>
    <cellStyle name="20% - Accent2 5 5" xfId="136"/>
    <cellStyle name="20% - Accent2 5 5 2" xfId="137"/>
    <cellStyle name="20% - Accent2 5 6" xfId="138"/>
    <cellStyle name="20% - Accent2 6" xfId="139"/>
    <cellStyle name="20% - Accent2 6 2" xfId="140"/>
    <cellStyle name="20% - Accent2 6 2 2" xfId="141"/>
    <cellStyle name="20% - Accent2 6 3" xfId="142"/>
    <cellStyle name="20% - Accent2 6 3 2" xfId="143"/>
    <cellStyle name="20% - Accent2 6 4" xfId="144"/>
    <cellStyle name="20% - Accent2 6 4 2" xfId="145"/>
    <cellStyle name="20% - Accent2 6 5" xfId="146"/>
    <cellStyle name="20% - Accent2 6 5 2" xfId="147"/>
    <cellStyle name="20% - Accent2 6 6" xfId="148"/>
    <cellStyle name="20% - Accent2 7" xfId="149"/>
    <cellStyle name="20% - Accent2 7 2" xfId="150"/>
    <cellStyle name="20% - Accent2 7 2 2" xfId="151"/>
    <cellStyle name="20% - Accent2 7 3" xfId="152"/>
    <cellStyle name="20% - Accent2 7 3 2" xfId="153"/>
    <cellStyle name="20% - Accent2 7 4" xfId="154"/>
    <cellStyle name="20% - Accent2 7 4 2" xfId="155"/>
    <cellStyle name="20% - Accent2 7 5" xfId="156"/>
    <cellStyle name="20% - Accent2 7 5 2" xfId="157"/>
    <cellStyle name="20% - Accent2 7 6" xfId="158"/>
    <cellStyle name="20% - Accent2 8" xfId="159"/>
    <cellStyle name="20% - Accent2 8 2" xfId="160"/>
    <cellStyle name="20% - Accent2 8 2 2" xfId="161"/>
    <cellStyle name="20% - Accent2 8 3" xfId="162"/>
    <cellStyle name="20% - Accent2 8 3 2" xfId="163"/>
    <cellStyle name="20% - Accent2 8 4" xfId="164"/>
    <cellStyle name="20% - Accent2 8 4 2" xfId="165"/>
    <cellStyle name="20% - Accent2 8 5" xfId="166"/>
    <cellStyle name="20% - Accent2 8 5 2" xfId="167"/>
    <cellStyle name="20% - Accent2 8 6" xfId="168"/>
    <cellStyle name="20% - Accent2 9" xfId="169"/>
    <cellStyle name="20% - Accent2 9 2" xfId="170"/>
    <cellStyle name="20% - Accent3 10" xfId="171"/>
    <cellStyle name="20% - Accent3 11" xfId="172"/>
    <cellStyle name="20% - Accent3 12" xfId="173"/>
    <cellStyle name="20% - Accent3 13" xfId="174"/>
    <cellStyle name="20% - Accent3 14" xfId="175"/>
    <cellStyle name="20% - Accent3 15" xfId="176"/>
    <cellStyle name="20% - Accent3 16" xfId="177"/>
    <cellStyle name="20% - Accent3 17" xfId="178"/>
    <cellStyle name="20% - Accent3 18" xfId="179"/>
    <cellStyle name="20% - Accent3 19" xfId="180"/>
    <cellStyle name="20% - Accent3 2" xfId="181"/>
    <cellStyle name="20% - Accent3 2 2" xfId="182"/>
    <cellStyle name="20% - Accent3 2 2 2" xfId="183"/>
    <cellStyle name="20% - Accent3 2 3" xfId="184"/>
    <cellStyle name="20% - Accent3 2 3 2" xfId="185"/>
    <cellStyle name="20% - Accent3 2 4" xfId="186"/>
    <cellStyle name="20% - Accent3 2 4 2" xfId="187"/>
    <cellStyle name="20% - Accent3 2 5" xfId="188"/>
    <cellStyle name="20% - Accent3 2 5 2" xfId="189"/>
    <cellStyle name="20% - Accent3 2 6" xfId="190"/>
    <cellStyle name="20% - Accent3 20" xfId="191"/>
    <cellStyle name="20% - Accent3 21" xfId="192"/>
    <cellStyle name="20% - Accent3 22" xfId="193"/>
    <cellStyle name="20% - Accent3 3" xfId="194"/>
    <cellStyle name="20% - Accent3 3 2" xfId="195"/>
    <cellStyle name="20% - Accent3 3 2 2" xfId="196"/>
    <cellStyle name="20% - Accent3 3 3" xfId="197"/>
    <cellStyle name="20% - Accent3 3 3 2" xfId="198"/>
    <cellStyle name="20% - Accent3 3 4" xfId="199"/>
    <cellStyle name="20% - Accent3 3 4 2" xfId="200"/>
    <cellStyle name="20% - Accent3 3 5" xfId="201"/>
    <cellStyle name="20% - Accent3 3 5 2" xfId="202"/>
    <cellStyle name="20% - Accent3 3 6" xfId="203"/>
    <cellStyle name="20% - Accent3 4" xfId="204"/>
    <cellStyle name="20% - Accent3 4 2" xfId="205"/>
    <cellStyle name="20% - Accent3 4 2 2" xfId="206"/>
    <cellStyle name="20% - Accent3 4 3" xfId="207"/>
    <cellStyle name="20% - Accent3 4 3 2" xfId="208"/>
    <cellStyle name="20% - Accent3 4 4" xfId="209"/>
    <cellStyle name="20% - Accent3 4 4 2" xfId="210"/>
    <cellStyle name="20% - Accent3 4 5" xfId="211"/>
    <cellStyle name="20% - Accent3 4 5 2" xfId="212"/>
    <cellStyle name="20% - Accent3 4 6" xfId="213"/>
    <cellStyle name="20% - Accent3 5" xfId="214"/>
    <cellStyle name="20% - Accent3 5 2" xfId="215"/>
    <cellStyle name="20% - Accent3 5 2 2" xfId="216"/>
    <cellStyle name="20% - Accent3 5 3" xfId="217"/>
    <cellStyle name="20% - Accent3 5 3 2" xfId="218"/>
    <cellStyle name="20% - Accent3 5 4" xfId="219"/>
    <cellStyle name="20% - Accent3 5 4 2" xfId="220"/>
    <cellStyle name="20% - Accent3 5 5" xfId="221"/>
    <cellStyle name="20% - Accent3 5 5 2" xfId="222"/>
    <cellStyle name="20% - Accent3 5 6" xfId="223"/>
    <cellStyle name="20% - Accent3 6" xfId="224"/>
    <cellStyle name="20% - Accent3 6 2" xfId="225"/>
    <cellStyle name="20% - Accent3 6 2 2" xfId="226"/>
    <cellStyle name="20% - Accent3 6 3" xfId="227"/>
    <cellStyle name="20% - Accent3 6 3 2" xfId="228"/>
    <cellStyle name="20% - Accent3 6 4" xfId="229"/>
    <cellStyle name="20% - Accent3 6 4 2" xfId="230"/>
    <cellStyle name="20% - Accent3 6 5" xfId="231"/>
    <cellStyle name="20% - Accent3 6 5 2" xfId="232"/>
    <cellStyle name="20% - Accent3 6 6" xfId="233"/>
    <cellStyle name="20% - Accent3 7" xfId="234"/>
    <cellStyle name="20% - Accent3 7 2" xfId="235"/>
    <cellStyle name="20% - Accent3 7 2 2" xfId="236"/>
    <cellStyle name="20% - Accent3 7 3" xfId="237"/>
    <cellStyle name="20% - Accent3 7 3 2" xfId="238"/>
    <cellStyle name="20% - Accent3 7 4" xfId="239"/>
    <cellStyle name="20% - Accent3 7 4 2" xfId="240"/>
    <cellStyle name="20% - Accent3 7 5" xfId="241"/>
    <cellStyle name="20% - Accent3 7 5 2" xfId="242"/>
    <cellStyle name="20% - Accent3 7 6" xfId="243"/>
    <cellStyle name="20% - Accent3 8" xfId="244"/>
    <cellStyle name="20% - Accent3 8 2" xfId="245"/>
    <cellStyle name="20% - Accent3 8 2 2" xfId="246"/>
    <cellStyle name="20% - Accent3 8 3" xfId="247"/>
    <cellStyle name="20% - Accent3 8 3 2" xfId="248"/>
    <cellStyle name="20% - Accent3 8 4" xfId="249"/>
    <cellStyle name="20% - Accent3 8 4 2" xfId="250"/>
    <cellStyle name="20% - Accent3 8 5" xfId="251"/>
    <cellStyle name="20% - Accent3 8 5 2" xfId="252"/>
    <cellStyle name="20% - Accent3 8 6" xfId="253"/>
    <cellStyle name="20% - Accent3 9" xfId="254"/>
    <cellStyle name="20% - Accent3 9 2" xfId="255"/>
    <cellStyle name="20% - Accent4 10" xfId="256"/>
    <cellStyle name="20% - Accent4 11" xfId="257"/>
    <cellStyle name="20% - Accent4 12" xfId="258"/>
    <cellStyle name="20% - Accent4 13" xfId="259"/>
    <cellStyle name="20% - Accent4 14" xfId="260"/>
    <cellStyle name="20% - Accent4 15" xfId="261"/>
    <cellStyle name="20% - Accent4 16" xfId="262"/>
    <cellStyle name="20% - Accent4 17" xfId="263"/>
    <cellStyle name="20% - Accent4 18" xfId="264"/>
    <cellStyle name="20% - Accent4 19" xfId="265"/>
    <cellStyle name="20% - Accent4 2" xfId="266"/>
    <cellStyle name="20% - Accent4 2 2" xfId="267"/>
    <cellStyle name="20% - Accent4 2 2 2" xfId="268"/>
    <cellStyle name="20% - Accent4 2 3" xfId="269"/>
    <cellStyle name="20% - Accent4 2 3 2" xfId="270"/>
    <cellStyle name="20% - Accent4 2 4" xfId="271"/>
    <cellStyle name="20% - Accent4 2 4 2" xfId="272"/>
    <cellStyle name="20% - Accent4 2 5" xfId="273"/>
    <cellStyle name="20% - Accent4 2 5 2" xfId="274"/>
    <cellStyle name="20% - Accent4 2 6" xfId="275"/>
    <cellStyle name="20% - Accent4 20" xfId="276"/>
    <cellStyle name="20% - Accent4 21" xfId="277"/>
    <cellStyle name="20% - Accent4 22" xfId="278"/>
    <cellStyle name="20% - Accent4 3" xfId="279"/>
    <cellStyle name="20% - Accent4 3 2" xfId="280"/>
    <cellStyle name="20% - Accent4 3 2 2" xfId="281"/>
    <cellStyle name="20% - Accent4 3 3" xfId="282"/>
    <cellStyle name="20% - Accent4 3 3 2" xfId="283"/>
    <cellStyle name="20% - Accent4 3 4" xfId="284"/>
    <cellStyle name="20% - Accent4 3 4 2" xfId="285"/>
    <cellStyle name="20% - Accent4 3 5" xfId="286"/>
    <cellStyle name="20% - Accent4 3 5 2" xfId="287"/>
    <cellStyle name="20% - Accent4 3 6" xfId="288"/>
    <cellStyle name="20% - Accent4 4" xfId="289"/>
    <cellStyle name="20% - Accent4 4 2" xfId="290"/>
    <cellStyle name="20% - Accent4 4 2 2" xfId="291"/>
    <cellStyle name="20% - Accent4 4 3" xfId="292"/>
    <cellStyle name="20% - Accent4 4 3 2" xfId="293"/>
    <cellStyle name="20% - Accent4 4 4" xfId="294"/>
    <cellStyle name="20% - Accent4 4 4 2" xfId="295"/>
    <cellStyle name="20% - Accent4 4 5" xfId="296"/>
    <cellStyle name="20% - Accent4 4 5 2" xfId="297"/>
    <cellStyle name="20% - Accent4 4 6" xfId="298"/>
    <cellStyle name="20% - Accent4 5" xfId="299"/>
    <cellStyle name="20% - Accent4 5 2" xfId="300"/>
    <cellStyle name="20% - Accent4 5 2 2" xfId="301"/>
    <cellStyle name="20% - Accent4 5 3" xfId="302"/>
    <cellStyle name="20% - Accent4 5 3 2" xfId="303"/>
    <cellStyle name="20% - Accent4 5 4" xfId="304"/>
    <cellStyle name="20% - Accent4 5 4 2" xfId="305"/>
    <cellStyle name="20% - Accent4 5 5" xfId="306"/>
    <cellStyle name="20% - Accent4 5 5 2" xfId="307"/>
    <cellStyle name="20% - Accent4 5 6" xfId="308"/>
    <cellStyle name="20% - Accent4 6" xfId="309"/>
    <cellStyle name="20% - Accent4 6 2" xfId="310"/>
    <cellStyle name="20% - Accent4 6 2 2" xfId="311"/>
    <cellStyle name="20% - Accent4 6 3" xfId="312"/>
    <cellStyle name="20% - Accent4 6 3 2" xfId="313"/>
    <cellStyle name="20% - Accent4 6 4" xfId="314"/>
    <cellStyle name="20% - Accent4 6 4 2" xfId="315"/>
    <cellStyle name="20% - Accent4 6 5" xfId="316"/>
    <cellStyle name="20% - Accent4 6 5 2" xfId="317"/>
    <cellStyle name="20% - Accent4 6 6" xfId="318"/>
    <cellStyle name="20% - Accent4 7" xfId="319"/>
    <cellStyle name="20% - Accent4 7 2" xfId="320"/>
    <cellStyle name="20% - Accent4 7 2 2" xfId="321"/>
    <cellStyle name="20% - Accent4 7 3" xfId="322"/>
    <cellStyle name="20% - Accent4 7 3 2" xfId="323"/>
    <cellStyle name="20% - Accent4 7 4" xfId="324"/>
    <cellStyle name="20% - Accent4 7 4 2" xfId="325"/>
    <cellStyle name="20% - Accent4 7 5" xfId="326"/>
    <cellStyle name="20% - Accent4 7 5 2" xfId="327"/>
    <cellStyle name="20% - Accent4 7 6" xfId="328"/>
    <cellStyle name="20% - Accent4 8" xfId="329"/>
    <cellStyle name="20% - Accent4 8 2" xfId="330"/>
    <cellStyle name="20% - Accent4 8 2 2" xfId="331"/>
    <cellStyle name="20% - Accent4 8 3" xfId="332"/>
    <cellStyle name="20% - Accent4 8 3 2" xfId="333"/>
    <cellStyle name="20% - Accent4 8 4" xfId="334"/>
    <cellStyle name="20% - Accent4 8 4 2" xfId="335"/>
    <cellStyle name="20% - Accent4 8 5" xfId="336"/>
    <cellStyle name="20% - Accent4 8 5 2" xfId="337"/>
    <cellStyle name="20% - Accent4 8 6" xfId="338"/>
    <cellStyle name="20% - Accent4 9" xfId="339"/>
    <cellStyle name="20% - Accent4 9 2" xfId="340"/>
    <cellStyle name="20% - Accent5 10" xfId="341"/>
    <cellStyle name="20% - Accent5 11" xfId="342"/>
    <cellStyle name="20% - Accent5 12" xfId="343"/>
    <cellStyle name="20% - Accent5 13" xfId="344"/>
    <cellStyle name="20% - Accent5 14" xfId="345"/>
    <cellStyle name="20% - Accent5 15" xfId="346"/>
    <cellStyle name="20% - Accent5 16" xfId="347"/>
    <cellStyle name="20% - Accent5 17" xfId="348"/>
    <cellStyle name="20% - Accent5 18" xfId="349"/>
    <cellStyle name="20% - Accent5 19" xfId="350"/>
    <cellStyle name="20% - Accent5 2" xfId="351"/>
    <cellStyle name="20% - Accent5 2 2" xfId="352"/>
    <cellStyle name="20% - Accent5 2 2 2" xfId="353"/>
    <cellStyle name="20% - Accent5 2 3" xfId="354"/>
    <cellStyle name="20% - Accent5 2 3 2" xfId="355"/>
    <cellStyle name="20% - Accent5 2 4" xfId="356"/>
    <cellStyle name="20% - Accent5 2 4 2" xfId="357"/>
    <cellStyle name="20% - Accent5 2 5" xfId="358"/>
    <cellStyle name="20% - Accent5 2 5 2" xfId="359"/>
    <cellStyle name="20% - Accent5 2 6" xfId="360"/>
    <cellStyle name="20% - Accent5 20" xfId="361"/>
    <cellStyle name="20% - Accent5 21" xfId="362"/>
    <cellStyle name="20% - Accent5 22" xfId="363"/>
    <cellStyle name="20% - Accent5 3" xfId="364"/>
    <cellStyle name="20% - Accent5 3 2" xfId="365"/>
    <cellStyle name="20% - Accent5 3 2 2" xfId="366"/>
    <cellStyle name="20% - Accent5 3 3" xfId="367"/>
    <cellStyle name="20% - Accent5 3 3 2" xfId="368"/>
    <cellStyle name="20% - Accent5 3 4" xfId="369"/>
    <cellStyle name="20% - Accent5 3 4 2" xfId="370"/>
    <cellStyle name="20% - Accent5 3 5" xfId="371"/>
    <cellStyle name="20% - Accent5 3 5 2" xfId="372"/>
    <cellStyle name="20% - Accent5 3 6" xfId="373"/>
    <cellStyle name="20% - Accent5 4" xfId="374"/>
    <cellStyle name="20% - Accent5 4 2" xfId="375"/>
    <cellStyle name="20% - Accent5 4 2 2" xfId="376"/>
    <cellStyle name="20% - Accent5 4 3" xfId="377"/>
    <cellStyle name="20% - Accent5 4 3 2" xfId="378"/>
    <cellStyle name="20% - Accent5 4 4" xfId="379"/>
    <cellStyle name="20% - Accent5 4 4 2" xfId="380"/>
    <cellStyle name="20% - Accent5 4 5" xfId="381"/>
    <cellStyle name="20% - Accent5 4 5 2" xfId="382"/>
    <cellStyle name="20% - Accent5 4 6" xfId="383"/>
    <cellStyle name="20% - Accent5 5" xfId="384"/>
    <cellStyle name="20% - Accent5 5 2" xfId="385"/>
    <cellStyle name="20% - Accent5 5 2 2" xfId="386"/>
    <cellStyle name="20% - Accent5 5 3" xfId="387"/>
    <cellStyle name="20% - Accent5 5 3 2" xfId="388"/>
    <cellStyle name="20% - Accent5 5 4" xfId="389"/>
    <cellStyle name="20% - Accent5 5 4 2" xfId="390"/>
    <cellStyle name="20% - Accent5 5 5" xfId="391"/>
    <cellStyle name="20% - Accent5 5 5 2" xfId="392"/>
    <cellStyle name="20% - Accent5 5 6" xfId="393"/>
    <cellStyle name="20% - Accent5 6" xfId="394"/>
    <cellStyle name="20% - Accent5 6 2" xfId="395"/>
    <cellStyle name="20% - Accent5 6 2 2" xfId="396"/>
    <cellStyle name="20% - Accent5 6 3" xfId="397"/>
    <cellStyle name="20% - Accent5 6 3 2" xfId="398"/>
    <cellStyle name="20% - Accent5 6 4" xfId="399"/>
    <cellStyle name="20% - Accent5 6 4 2" xfId="400"/>
    <cellStyle name="20% - Accent5 6 5" xfId="401"/>
    <cellStyle name="20% - Accent5 6 5 2" xfId="402"/>
    <cellStyle name="20% - Accent5 6 6" xfId="403"/>
    <cellStyle name="20% - Accent5 7" xfId="404"/>
    <cellStyle name="20% - Accent5 7 2" xfId="405"/>
    <cellStyle name="20% - Accent5 7 2 2" xfId="406"/>
    <cellStyle name="20% - Accent5 7 3" xfId="407"/>
    <cellStyle name="20% - Accent5 7 3 2" xfId="408"/>
    <cellStyle name="20% - Accent5 7 4" xfId="409"/>
    <cellStyle name="20% - Accent5 7 4 2" xfId="410"/>
    <cellStyle name="20% - Accent5 7 5" xfId="411"/>
    <cellStyle name="20% - Accent5 7 5 2" xfId="412"/>
    <cellStyle name="20% - Accent5 7 6" xfId="413"/>
    <cellStyle name="20% - Accent5 8" xfId="414"/>
    <cellStyle name="20% - Accent5 8 2" xfId="415"/>
    <cellStyle name="20% - Accent5 8 2 2" xfId="416"/>
    <cellStyle name="20% - Accent5 8 3" xfId="417"/>
    <cellStyle name="20% - Accent5 8 3 2" xfId="418"/>
    <cellStyle name="20% - Accent5 8 4" xfId="419"/>
    <cellStyle name="20% - Accent5 8 4 2" xfId="420"/>
    <cellStyle name="20% - Accent5 8 5" xfId="421"/>
    <cellStyle name="20% - Accent5 8 5 2" xfId="422"/>
    <cellStyle name="20% - Accent5 8 6" xfId="423"/>
    <cellStyle name="20% - Accent5 9" xfId="424"/>
    <cellStyle name="20% - Accent5 9 2" xfId="425"/>
    <cellStyle name="20% - Accent6 10" xfId="426"/>
    <cellStyle name="20% - Accent6 11" xfId="427"/>
    <cellStyle name="20% - Accent6 12" xfId="428"/>
    <cellStyle name="20% - Accent6 13" xfId="429"/>
    <cellStyle name="20% - Accent6 14" xfId="430"/>
    <cellStyle name="20% - Accent6 15" xfId="431"/>
    <cellStyle name="20% - Accent6 16" xfId="432"/>
    <cellStyle name="20% - Accent6 17" xfId="433"/>
    <cellStyle name="20% - Accent6 18" xfId="434"/>
    <cellStyle name="20% - Accent6 19" xfId="435"/>
    <cellStyle name="20% - Accent6 2" xfId="436"/>
    <cellStyle name="20% - Accent6 2 2" xfId="437"/>
    <cellStyle name="20% - Accent6 2 2 2" xfId="438"/>
    <cellStyle name="20% - Accent6 2 3" xfId="439"/>
    <cellStyle name="20% - Accent6 2 3 2" xfId="440"/>
    <cellStyle name="20% - Accent6 2 4" xfId="441"/>
    <cellStyle name="20% - Accent6 2 4 2" xfId="442"/>
    <cellStyle name="20% - Accent6 2 5" xfId="443"/>
    <cellStyle name="20% - Accent6 2 5 2" xfId="444"/>
    <cellStyle name="20% - Accent6 2 6" xfId="445"/>
    <cellStyle name="20% - Accent6 20" xfId="446"/>
    <cellStyle name="20% - Accent6 21" xfId="447"/>
    <cellStyle name="20% - Accent6 22" xfId="448"/>
    <cellStyle name="20% - Accent6 3" xfId="449"/>
    <cellStyle name="20% - Accent6 3 2" xfId="450"/>
    <cellStyle name="20% - Accent6 3 2 2" xfId="451"/>
    <cellStyle name="20% - Accent6 3 3" xfId="452"/>
    <cellStyle name="20% - Accent6 3 3 2" xfId="453"/>
    <cellStyle name="20% - Accent6 3 4" xfId="454"/>
    <cellStyle name="20% - Accent6 3 4 2" xfId="455"/>
    <cellStyle name="20% - Accent6 3 5" xfId="456"/>
    <cellStyle name="20% - Accent6 3 5 2" xfId="457"/>
    <cellStyle name="20% - Accent6 3 6" xfId="458"/>
    <cellStyle name="20% - Accent6 4" xfId="459"/>
    <cellStyle name="20% - Accent6 4 2" xfId="460"/>
    <cellStyle name="20% - Accent6 4 2 2" xfId="461"/>
    <cellStyle name="20% - Accent6 4 3" xfId="462"/>
    <cellStyle name="20% - Accent6 4 3 2" xfId="463"/>
    <cellStyle name="20% - Accent6 4 4" xfId="464"/>
    <cellStyle name="20% - Accent6 4 4 2" xfId="465"/>
    <cellStyle name="20% - Accent6 4 5" xfId="466"/>
    <cellStyle name="20% - Accent6 4 5 2" xfId="467"/>
    <cellStyle name="20% - Accent6 4 6" xfId="468"/>
    <cellStyle name="20% - Accent6 5" xfId="469"/>
    <cellStyle name="20% - Accent6 5 2" xfId="470"/>
    <cellStyle name="20% - Accent6 5 2 2" xfId="471"/>
    <cellStyle name="20% - Accent6 5 3" xfId="472"/>
    <cellStyle name="20% - Accent6 5 3 2" xfId="473"/>
    <cellStyle name="20% - Accent6 5 4" xfId="474"/>
    <cellStyle name="20% - Accent6 5 4 2" xfId="475"/>
    <cellStyle name="20% - Accent6 5 5" xfId="476"/>
    <cellStyle name="20% - Accent6 5 5 2" xfId="477"/>
    <cellStyle name="20% - Accent6 5 6" xfId="478"/>
    <cellStyle name="20% - Accent6 6" xfId="479"/>
    <cellStyle name="20% - Accent6 6 2" xfId="480"/>
    <cellStyle name="20% - Accent6 6 2 2" xfId="481"/>
    <cellStyle name="20% - Accent6 6 3" xfId="482"/>
    <cellStyle name="20% - Accent6 6 3 2" xfId="483"/>
    <cellStyle name="20% - Accent6 6 4" xfId="484"/>
    <cellStyle name="20% - Accent6 6 4 2" xfId="485"/>
    <cellStyle name="20% - Accent6 6 5" xfId="486"/>
    <cellStyle name="20% - Accent6 6 5 2" xfId="487"/>
    <cellStyle name="20% - Accent6 6 6" xfId="488"/>
    <cellStyle name="20% - Accent6 7" xfId="489"/>
    <cellStyle name="20% - Accent6 7 2" xfId="490"/>
    <cellStyle name="20% - Accent6 7 2 2" xfId="491"/>
    <cellStyle name="20% - Accent6 7 3" xfId="492"/>
    <cellStyle name="20% - Accent6 7 3 2" xfId="493"/>
    <cellStyle name="20% - Accent6 7 4" xfId="494"/>
    <cellStyle name="20% - Accent6 7 4 2" xfId="495"/>
    <cellStyle name="20% - Accent6 7 5" xfId="496"/>
    <cellStyle name="20% - Accent6 7 5 2" xfId="497"/>
    <cellStyle name="20% - Accent6 7 6" xfId="498"/>
    <cellStyle name="20% - Accent6 8" xfId="499"/>
    <cellStyle name="20% - Accent6 8 2" xfId="500"/>
    <cellStyle name="20% - Accent6 8 2 2" xfId="501"/>
    <cellStyle name="20% - Accent6 8 3" xfId="502"/>
    <cellStyle name="20% - Accent6 8 3 2" xfId="503"/>
    <cellStyle name="20% - Accent6 8 4" xfId="504"/>
    <cellStyle name="20% - Accent6 8 4 2" xfId="505"/>
    <cellStyle name="20% - Accent6 8 5" xfId="506"/>
    <cellStyle name="20% - Accent6 8 5 2" xfId="507"/>
    <cellStyle name="20% - Accent6 8 6" xfId="508"/>
    <cellStyle name="20% - Accent6 9" xfId="509"/>
    <cellStyle name="20% - Accent6 9 2" xfId="510"/>
    <cellStyle name="40% - Accent1 10" xfId="511"/>
    <cellStyle name="40% - Accent1 11" xfId="512"/>
    <cellStyle name="40% - Accent1 12" xfId="513"/>
    <cellStyle name="40% - Accent1 13" xfId="514"/>
    <cellStyle name="40% - Accent1 14" xfId="515"/>
    <cellStyle name="40% - Accent1 15" xfId="516"/>
    <cellStyle name="40% - Accent1 16" xfId="517"/>
    <cellStyle name="40% - Accent1 17" xfId="518"/>
    <cellStyle name="40% - Accent1 18" xfId="519"/>
    <cellStyle name="40% - Accent1 19" xfId="520"/>
    <cellStyle name="40% - Accent1 2" xfId="521"/>
    <cellStyle name="40% - Accent1 2 2" xfId="522"/>
    <cellStyle name="40% - Accent1 2 2 2" xfId="523"/>
    <cellStyle name="40% - Accent1 2 3" xfId="524"/>
    <cellStyle name="40% - Accent1 2 3 2" xfId="525"/>
    <cellStyle name="40% - Accent1 2 4" xfId="526"/>
    <cellStyle name="40% - Accent1 2 4 2" xfId="527"/>
    <cellStyle name="40% - Accent1 2 5" xfId="528"/>
    <cellStyle name="40% - Accent1 2 5 2" xfId="529"/>
    <cellStyle name="40% - Accent1 2 6" xfId="530"/>
    <cellStyle name="40% - Accent1 20" xfId="531"/>
    <cellStyle name="40% - Accent1 21" xfId="532"/>
    <cellStyle name="40% - Accent1 22" xfId="533"/>
    <cellStyle name="40% - Accent1 3" xfId="534"/>
    <cellStyle name="40% - Accent1 3 2" xfId="535"/>
    <cellStyle name="40% - Accent1 3 2 2" xfId="536"/>
    <cellStyle name="40% - Accent1 3 3" xfId="537"/>
    <cellStyle name="40% - Accent1 3 3 2" xfId="538"/>
    <cellStyle name="40% - Accent1 3 4" xfId="539"/>
    <cellStyle name="40% - Accent1 3 4 2" xfId="540"/>
    <cellStyle name="40% - Accent1 3 5" xfId="541"/>
    <cellStyle name="40% - Accent1 3 5 2" xfId="542"/>
    <cellStyle name="40% - Accent1 3 6" xfId="543"/>
    <cellStyle name="40% - Accent1 4" xfId="544"/>
    <cellStyle name="40% - Accent1 4 2" xfId="545"/>
    <cellStyle name="40% - Accent1 4 2 2" xfId="546"/>
    <cellStyle name="40% - Accent1 4 3" xfId="547"/>
    <cellStyle name="40% - Accent1 4 3 2" xfId="548"/>
    <cellStyle name="40% - Accent1 4 4" xfId="549"/>
    <cellStyle name="40% - Accent1 4 4 2" xfId="550"/>
    <cellStyle name="40% - Accent1 4 5" xfId="551"/>
    <cellStyle name="40% - Accent1 4 5 2" xfId="552"/>
    <cellStyle name="40% - Accent1 4 6" xfId="553"/>
    <cellStyle name="40% - Accent1 5" xfId="554"/>
    <cellStyle name="40% - Accent1 5 2" xfId="555"/>
    <cellStyle name="40% - Accent1 5 2 2" xfId="556"/>
    <cellStyle name="40% - Accent1 5 3" xfId="557"/>
    <cellStyle name="40% - Accent1 5 3 2" xfId="558"/>
    <cellStyle name="40% - Accent1 5 4" xfId="559"/>
    <cellStyle name="40% - Accent1 5 4 2" xfId="560"/>
    <cellStyle name="40% - Accent1 5 5" xfId="561"/>
    <cellStyle name="40% - Accent1 5 5 2" xfId="562"/>
    <cellStyle name="40% - Accent1 5 6" xfId="563"/>
    <cellStyle name="40% - Accent1 6" xfId="564"/>
    <cellStyle name="40% - Accent1 6 2" xfId="565"/>
    <cellStyle name="40% - Accent1 6 2 2" xfId="566"/>
    <cellStyle name="40% - Accent1 6 3" xfId="567"/>
    <cellStyle name="40% - Accent1 6 3 2" xfId="568"/>
    <cellStyle name="40% - Accent1 6 4" xfId="569"/>
    <cellStyle name="40% - Accent1 6 4 2" xfId="570"/>
    <cellStyle name="40% - Accent1 6 5" xfId="571"/>
    <cellStyle name="40% - Accent1 6 5 2" xfId="572"/>
    <cellStyle name="40% - Accent1 6 6" xfId="573"/>
    <cellStyle name="40% - Accent1 7" xfId="574"/>
    <cellStyle name="40% - Accent1 7 2" xfId="575"/>
    <cellStyle name="40% - Accent1 7 2 2" xfId="576"/>
    <cellStyle name="40% - Accent1 7 3" xfId="577"/>
    <cellStyle name="40% - Accent1 7 3 2" xfId="578"/>
    <cellStyle name="40% - Accent1 7 4" xfId="579"/>
    <cellStyle name="40% - Accent1 7 4 2" xfId="580"/>
    <cellStyle name="40% - Accent1 7 5" xfId="581"/>
    <cellStyle name="40% - Accent1 7 5 2" xfId="582"/>
    <cellStyle name="40% - Accent1 7 6" xfId="583"/>
    <cellStyle name="40% - Accent1 8" xfId="584"/>
    <cellStyle name="40% - Accent1 8 2" xfId="585"/>
    <cellStyle name="40% - Accent1 8 2 2" xfId="586"/>
    <cellStyle name="40% - Accent1 8 3" xfId="587"/>
    <cellStyle name="40% - Accent1 8 3 2" xfId="588"/>
    <cellStyle name="40% - Accent1 8 4" xfId="589"/>
    <cellStyle name="40% - Accent1 8 4 2" xfId="590"/>
    <cellStyle name="40% - Accent1 8 5" xfId="591"/>
    <cellStyle name="40% - Accent1 8 5 2" xfId="592"/>
    <cellStyle name="40% - Accent1 8 6" xfId="593"/>
    <cellStyle name="40% - Accent1 9" xfId="594"/>
    <cellStyle name="40% - Accent1 9 2" xfId="595"/>
    <cellStyle name="40% - Accent2 10" xfId="596"/>
    <cellStyle name="40% - Accent2 11" xfId="597"/>
    <cellStyle name="40% - Accent2 12" xfId="598"/>
    <cellStyle name="40% - Accent2 13" xfId="599"/>
    <cellStyle name="40% - Accent2 14" xfId="600"/>
    <cellStyle name="40% - Accent2 15" xfId="601"/>
    <cellStyle name="40% - Accent2 16" xfId="602"/>
    <cellStyle name="40% - Accent2 17" xfId="603"/>
    <cellStyle name="40% - Accent2 18" xfId="604"/>
    <cellStyle name="40% - Accent2 19" xfId="605"/>
    <cellStyle name="40% - Accent2 2" xfId="606"/>
    <cellStyle name="40% - Accent2 2 2" xfId="607"/>
    <cellStyle name="40% - Accent2 2 2 2" xfId="608"/>
    <cellStyle name="40% - Accent2 2 3" xfId="609"/>
    <cellStyle name="40% - Accent2 2 3 2" xfId="610"/>
    <cellStyle name="40% - Accent2 2 4" xfId="611"/>
    <cellStyle name="40% - Accent2 2 4 2" xfId="612"/>
    <cellStyle name="40% - Accent2 2 5" xfId="613"/>
    <cellStyle name="40% - Accent2 2 5 2" xfId="614"/>
    <cellStyle name="40% - Accent2 2 6" xfId="615"/>
    <cellStyle name="40% - Accent2 20" xfId="616"/>
    <cellStyle name="40% - Accent2 21" xfId="617"/>
    <cellStyle name="40% - Accent2 22" xfId="618"/>
    <cellStyle name="40% - Accent2 3" xfId="619"/>
    <cellStyle name="40% - Accent2 3 2" xfId="620"/>
    <cellStyle name="40% - Accent2 3 2 2" xfId="621"/>
    <cellStyle name="40% - Accent2 3 3" xfId="622"/>
    <cellStyle name="40% - Accent2 3 3 2" xfId="623"/>
    <cellStyle name="40% - Accent2 3 4" xfId="624"/>
    <cellStyle name="40% - Accent2 3 4 2" xfId="625"/>
    <cellStyle name="40% - Accent2 3 5" xfId="626"/>
    <cellStyle name="40% - Accent2 3 5 2" xfId="627"/>
    <cellStyle name="40% - Accent2 3 6" xfId="628"/>
    <cellStyle name="40% - Accent2 4" xfId="629"/>
    <cellStyle name="40% - Accent2 4 2" xfId="630"/>
    <cellStyle name="40% - Accent2 4 2 2" xfId="631"/>
    <cellStyle name="40% - Accent2 4 3" xfId="632"/>
    <cellStyle name="40% - Accent2 4 3 2" xfId="633"/>
    <cellStyle name="40% - Accent2 4 4" xfId="634"/>
    <cellStyle name="40% - Accent2 4 4 2" xfId="635"/>
    <cellStyle name="40% - Accent2 4 5" xfId="636"/>
    <cellStyle name="40% - Accent2 4 5 2" xfId="637"/>
    <cellStyle name="40% - Accent2 4 6" xfId="638"/>
    <cellStyle name="40% - Accent2 5" xfId="639"/>
    <cellStyle name="40% - Accent2 5 2" xfId="640"/>
    <cellStyle name="40% - Accent2 5 2 2" xfId="641"/>
    <cellStyle name="40% - Accent2 5 3" xfId="642"/>
    <cellStyle name="40% - Accent2 5 3 2" xfId="643"/>
    <cellStyle name="40% - Accent2 5 4" xfId="644"/>
    <cellStyle name="40% - Accent2 5 4 2" xfId="645"/>
    <cellStyle name="40% - Accent2 5 5" xfId="646"/>
    <cellStyle name="40% - Accent2 5 5 2" xfId="647"/>
    <cellStyle name="40% - Accent2 5 6" xfId="648"/>
    <cellStyle name="40% - Accent2 6" xfId="649"/>
    <cellStyle name="40% - Accent2 6 2" xfId="650"/>
    <cellStyle name="40% - Accent2 6 2 2" xfId="651"/>
    <cellStyle name="40% - Accent2 6 3" xfId="652"/>
    <cellStyle name="40% - Accent2 6 3 2" xfId="653"/>
    <cellStyle name="40% - Accent2 6 4" xfId="654"/>
    <cellStyle name="40% - Accent2 6 4 2" xfId="655"/>
    <cellStyle name="40% - Accent2 6 5" xfId="656"/>
    <cellStyle name="40% - Accent2 6 5 2" xfId="657"/>
    <cellStyle name="40% - Accent2 6 6" xfId="658"/>
    <cellStyle name="40% - Accent2 7" xfId="659"/>
    <cellStyle name="40% - Accent2 7 2" xfId="660"/>
    <cellStyle name="40% - Accent2 7 2 2" xfId="661"/>
    <cellStyle name="40% - Accent2 7 3" xfId="662"/>
    <cellStyle name="40% - Accent2 7 3 2" xfId="663"/>
    <cellStyle name="40% - Accent2 7 4" xfId="664"/>
    <cellStyle name="40% - Accent2 7 4 2" xfId="665"/>
    <cellStyle name="40% - Accent2 7 5" xfId="666"/>
    <cellStyle name="40% - Accent2 7 5 2" xfId="667"/>
    <cellStyle name="40% - Accent2 7 6" xfId="668"/>
    <cellStyle name="40% - Accent2 8" xfId="669"/>
    <cellStyle name="40% - Accent2 8 2" xfId="670"/>
    <cellStyle name="40% - Accent2 8 2 2" xfId="671"/>
    <cellStyle name="40% - Accent2 8 3" xfId="672"/>
    <cellStyle name="40% - Accent2 8 3 2" xfId="673"/>
    <cellStyle name="40% - Accent2 8 4" xfId="674"/>
    <cellStyle name="40% - Accent2 8 4 2" xfId="675"/>
    <cellStyle name="40% - Accent2 8 5" xfId="676"/>
    <cellStyle name="40% - Accent2 8 5 2" xfId="677"/>
    <cellStyle name="40% - Accent2 8 6" xfId="678"/>
    <cellStyle name="40% - Accent2 9" xfId="679"/>
    <cellStyle name="40% - Accent2 9 2" xfId="680"/>
    <cellStyle name="40% - Accent3 10" xfId="681"/>
    <cellStyle name="40% - Accent3 11" xfId="682"/>
    <cellStyle name="40% - Accent3 12" xfId="683"/>
    <cellStyle name="40% - Accent3 13" xfId="684"/>
    <cellStyle name="40% - Accent3 14" xfId="685"/>
    <cellStyle name="40% - Accent3 15" xfId="686"/>
    <cellStyle name="40% - Accent3 16" xfId="687"/>
    <cellStyle name="40% - Accent3 17" xfId="688"/>
    <cellStyle name="40% - Accent3 18" xfId="689"/>
    <cellStyle name="40% - Accent3 19" xfId="690"/>
    <cellStyle name="40% - Accent3 2" xfId="691"/>
    <cellStyle name="40% - Accent3 2 2" xfId="692"/>
    <cellStyle name="40% - Accent3 2 2 2" xfId="693"/>
    <cellStyle name="40% - Accent3 2 3" xfId="694"/>
    <cellStyle name="40% - Accent3 2 3 2" xfId="695"/>
    <cellStyle name="40% - Accent3 2 4" xfId="696"/>
    <cellStyle name="40% - Accent3 2 4 2" xfId="697"/>
    <cellStyle name="40% - Accent3 2 5" xfId="698"/>
    <cellStyle name="40% - Accent3 2 5 2" xfId="699"/>
    <cellStyle name="40% - Accent3 2 6" xfId="700"/>
    <cellStyle name="40% - Accent3 20" xfId="701"/>
    <cellStyle name="40% - Accent3 21" xfId="702"/>
    <cellStyle name="40% - Accent3 22" xfId="703"/>
    <cellStyle name="40% - Accent3 3" xfId="704"/>
    <cellStyle name="40% - Accent3 3 2" xfId="705"/>
    <cellStyle name="40% - Accent3 3 2 2" xfId="706"/>
    <cellStyle name="40% - Accent3 3 3" xfId="707"/>
    <cellStyle name="40% - Accent3 3 3 2" xfId="708"/>
    <cellStyle name="40% - Accent3 3 4" xfId="709"/>
    <cellStyle name="40% - Accent3 3 4 2" xfId="710"/>
    <cellStyle name="40% - Accent3 3 5" xfId="711"/>
    <cellStyle name="40% - Accent3 3 5 2" xfId="712"/>
    <cellStyle name="40% - Accent3 3 6" xfId="713"/>
    <cellStyle name="40% - Accent3 4" xfId="714"/>
    <cellStyle name="40% - Accent3 4 2" xfId="715"/>
    <cellStyle name="40% - Accent3 4 2 2" xfId="716"/>
    <cellStyle name="40% - Accent3 4 3" xfId="717"/>
    <cellStyle name="40% - Accent3 4 3 2" xfId="718"/>
    <cellStyle name="40% - Accent3 4 4" xfId="719"/>
    <cellStyle name="40% - Accent3 4 4 2" xfId="720"/>
    <cellStyle name="40% - Accent3 4 5" xfId="721"/>
    <cellStyle name="40% - Accent3 4 5 2" xfId="722"/>
    <cellStyle name="40% - Accent3 4 6" xfId="723"/>
    <cellStyle name="40% - Accent3 5" xfId="724"/>
    <cellStyle name="40% - Accent3 5 2" xfId="725"/>
    <cellStyle name="40% - Accent3 5 2 2" xfId="726"/>
    <cellStyle name="40% - Accent3 5 3" xfId="727"/>
    <cellStyle name="40% - Accent3 5 3 2" xfId="728"/>
    <cellStyle name="40% - Accent3 5 4" xfId="729"/>
    <cellStyle name="40% - Accent3 5 4 2" xfId="730"/>
    <cellStyle name="40% - Accent3 5 5" xfId="731"/>
    <cellStyle name="40% - Accent3 5 5 2" xfId="732"/>
    <cellStyle name="40% - Accent3 5 6" xfId="733"/>
    <cellStyle name="40% - Accent3 6" xfId="734"/>
    <cellStyle name="40% - Accent3 6 2" xfId="735"/>
    <cellStyle name="40% - Accent3 6 2 2" xfId="736"/>
    <cellStyle name="40% - Accent3 6 3" xfId="737"/>
    <cellStyle name="40% - Accent3 6 3 2" xfId="738"/>
    <cellStyle name="40% - Accent3 6 4" xfId="739"/>
    <cellStyle name="40% - Accent3 6 4 2" xfId="740"/>
    <cellStyle name="40% - Accent3 6 5" xfId="741"/>
    <cellStyle name="40% - Accent3 6 5 2" xfId="742"/>
    <cellStyle name="40% - Accent3 6 6" xfId="743"/>
    <cellStyle name="40% - Accent3 7" xfId="744"/>
    <cellStyle name="40% - Accent3 7 2" xfId="745"/>
    <cellStyle name="40% - Accent3 7 2 2" xfId="746"/>
    <cellStyle name="40% - Accent3 7 3" xfId="747"/>
    <cellStyle name="40% - Accent3 7 3 2" xfId="748"/>
    <cellStyle name="40% - Accent3 7 4" xfId="749"/>
    <cellStyle name="40% - Accent3 7 4 2" xfId="750"/>
    <cellStyle name="40% - Accent3 7 5" xfId="751"/>
    <cellStyle name="40% - Accent3 7 5 2" xfId="752"/>
    <cellStyle name="40% - Accent3 7 6" xfId="753"/>
    <cellStyle name="40% - Accent3 8" xfId="754"/>
    <cellStyle name="40% - Accent3 8 2" xfId="755"/>
    <cellStyle name="40% - Accent3 8 2 2" xfId="756"/>
    <cellStyle name="40% - Accent3 8 3" xfId="757"/>
    <cellStyle name="40% - Accent3 8 3 2" xfId="758"/>
    <cellStyle name="40% - Accent3 8 4" xfId="759"/>
    <cellStyle name="40% - Accent3 8 4 2" xfId="760"/>
    <cellStyle name="40% - Accent3 8 5" xfId="761"/>
    <cellStyle name="40% - Accent3 8 5 2" xfId="762"/>
    <cellStyle name="40% - Accent3 8 6" xfId="763"/>
    <cellStyle name="40% - Accent3 9" xfId="764"/>
    <cellStyle name="40% - Accent3 9 2" xfId="765"/>
    <cellStyle name="40% - Accent4 10" xfId="766"/>
    <cellStyle name="40% - Accent4 11" xfId="767"/>
    <cellStyle name="40% - Accent4 12" xfId="768"/>
    <cellStyle name="40% - Accent4 13" xfId="769"/>
    <cellStyle name="40% - Accent4 14" xfId="770"/>
    <cellStyle name="40% - Accent4 15" xfId="771"/>
    <cellStyle name="40% - Accent4 16" xfId="772"/>
    <cellStyle name="40% - Accent4 17" xfId="773"/>
    <cellStyle name="40% - Accent4 18" xfId="774"/>
    <cellStyle name="40% - Accent4 19" xfId="775"/>
    <cellStyle name="40% - Accent4 2" xfId="776"/>
    <cellStyle name="40% - Accent4 2 2" xfId="777"/>
    <cellStyle name="40% - Accent4 2 2 2" xfId="778"/>
    <cellStyle name="40% - Accent4 2 3" xfId="779"/>
    <cellStyle name="40% - Accent4 2 3 2" xfId="780"/>
    <cellStyle name="40% - Accent4 2 4" xfId="781"/>
    <cellStyle name="40% - Accent4 2 4 2" xfId="782"/>
    <cellStyle name="40% - Accent4 2 5" xfId="783"/>
    <cellStyle name="40% - Accent4 2 5 2" xfId="784"/>
    <cellStyle name="40% - Accent4 2 6" xfId="785"/>
    <cellStyle name="40% - Accent4 20" xfId="786"/>
    <cellStyle name="40% - Accent4 21" xfId="787"/>
    <cellStyle name="40% - Accent4 22" xfId="788"/>
    <cellStyle name="40% - Accent4 3" xfId="789"/>
    <cellStyle name="40% - Accent4 3 2" xfId="790"/>
    <cellStyle name="40% - Accent4 3 2 2" xfId="791"/>
    <cellStyle name="40% - Accent4 3 3" xfId="792"/>
    <cellStyle name="40% - Accent4 3 3 2" xfId="793"/>
    <cellStyle name="40% - Accent4 3 4" xfId="794"/>
    <cellStyle name="40% - Accent4 3 4 2" xfId="795"/>
    <cellStyle name="40% - Accent4 3 5" xfId="796"/>
    <cellStyle name="40% - Accent4 3 5 2" xfId="797"/>
    <cellStyle name="40% - Accent4 3 6" xfId="798"/>
    <cellStyle name="40% - Accent4 4" xfId="799"/>
    <cellStyle name="40% - Accent4 4 2" xfId="800"/>
    <cellStyle name="40% - Accent4 4 2 2" xfId="801"/>
    <cellStyle name="40% - Accent4 4 3" xfId="802"/>
    <cellStyle name="40% - Accent4 4 3 2" xfId="803"/>
    <cellStyle name="40% - Accent4 4 4" xfId="804"/>
    <cellStyle name="40% - Accent4 4 4 2" xfId="805"/>
    <cellStyle name="40% - Accent4 4 5" xfId="806"/>
    <cellStyle name="40% - Accent4 4 5 2" xfId="807"/>
    <cellStyle name="40% - Accent4 4 6" xfId="808"/>
    <cellStyle name="40% - Accent4 5" xfId="809"/>
    <cellStyle name="40% - Accent4 5 2" xfId="810"/>
    <cellStyle name="40% - Accent4 5 2 2" xfId="811"/>
    <cellStyle name="40% - Accent4 5 3" xfId="812"/>
    <cellStyle name="40% - Accent4 5 3 2" xfId="813"/>
    <cellStyle name="40% - Accent4 5 4" xfId="814"/>
    <cellStyle name="40% - Accent4 5 4 2" xfId="815"/>
    <cellStyle name="40% - Accent4 5 5" xfId="816"/>
    <cellStyle name="40% - Accent4 5 5 2" xfId="817"/>
    <cellStyle name="40% - Accent4 5 6" xfId="818"/>
    <cellStyle name="40% - Accent4 6" xfId="819"/>
    <cellStyle name="40% - Accent4 6 2" xfId="820"/>
    <cellStyle name="40% - Accent4 6 2 2" xfId="821"/>
    <cellStyle name="40% - Accent4 6 3" xfId="822"/>
    <cellStyle name="40% - Accent4 6 3 2" xfId="823"/>
    <cellStyle name="40% - Accent4 6 4" xfId="824"/>
    <cellStyle name="40% - Accent4 6 4 2" xfId="825"/>
    <cellStyle name="40% - Accent4 6 5" xfId="826"/>
    <cellStyle name="40% - Accent4 6 5 2" xfId="827"/>
    <cellStyle name="40% - Accent4 6 6" xfId="828"/>
    <cellStyle name="40% - Accent4 7" xfId="829"/>
    <cellStyle name="40% - Accent4 7 2" xfId="830"/>
    <cellStyle name="40% - Accent4 7 2 2" xfId="831"/>
    <cellStyle name="40% - Accent4 7 3" xfId="832"/>
    <cellStyle name="40% - Accent4 7 3 2" xfId="833"/>
    <cellStyle name="40% - Accent4 7 4" xfId="834"/>
    <cellStyle name="40% - Accent4 7 4 2" xfId="835"/>
    <cellStyle name="40% - Accent4 7 5" xfId="836"/>
    <cellStyle name="40% - Accent4 7 5 2" xfId="837"/>
    <cellStyle name="40% - Accent4 7 6" xfId="838"/>
    <cellStyle name="40% - Accent4 8" xfId="839"/>
    <cellStyle name="40% - Accent4 8 2" xfId="840"/>
    <cellStyle name="40% - Accent4 8 2 2" xfId="841"/>
    <cellStyle name="40% - Accent4 8 3" xfId="842"/>
    <cellStyle name="40% - Accent4 8 3 2" xfId="843"/>
    <cellStyle name="40% - Accent4 8 4" xfId="844"/>
    <cellStyle name="40% - Accent4 8 4 2" xfId="845"/>
    <cellStyle name="40% - Accent4 8 5" xfId="846"/>
    <cellStyle name="40% - Accent4 8 5 2" xfId="847"/>
    <cellStyle name="40% - Accent4 8 6" xfId="848"/>
    <cellStyle name="40% - Accent4 9" xfId="849"/>
    <cellStyle name="40% - Accent4 9 2" xfId="850"/>
    <cellStyle name="40% - Accent5 10" xfId="851"/>
    <cellStyle name="40% - Accent5 11" xfId="852"/>
    <cellStyle name="40% - Accent5 12" xfId="853"/>
    <cellStyle name="40% - Accent5 13" xfId="854"/>
    <cellStyle name="40% - Accent5 14" xfId="855"/>
    <cellStyle name="40% - Accent5 15" xfId="856"/>
    <cellStyle name="40% - Accent5 16" xfId="857"/>
    <cellStyle name="40% - Accent5 17" xfId="858"/>
    <cellStyle name="40% - Accent5 18" xfId="859"/>
    <cellStyle name="40% - Accent5 19" xfId="860"/>
    <cellStyle name="40% - Accent5 2" xfId="861"/>
    <cellStyle name="40% - Accent5 2 2" xfId="862"/>
    <cellStyle name="40% - Accent5 2 2 2" xfId="863"/>
    <cellStyle name="40% - Accent5 2 3" xfId="864"/>
    <cellStyle name="40% - Accent5 2 3 2" xfId="865"/>
    <cellStyle name="40% - Accent5 2 4" xfId="866"/>
    <cellStyle name="40% - Accent5 2 4 2" xfId="867"/>
    <cellStyle name="40% - Accent5 2 5" xfId="868"/>
    <cellStyle name="40% - Accent5 2 5 2" xfId="869"/>
    <cellStyle name="40% - Accent5 2 6" xfId="870"/>
    <cellStyle name="40% - Accent5 20" xfId="871"/>
    <cellStyle name="40% - Accent5 21" xfId="872"/>
    <cellStyle name="40% - Accent5 22" xfId="873"/>
    <cellStyle name="40% - Accent5 3" xfId="874"/>
    <cellStyle name="40% - Accent5 3 2" xfId="875"/>
    <cellStyle name="40% - Accent5 3 2 2" xfId="876"/>
    <cellStyle name="40% - Accent5 3 3" xfId="877"/>
    <cellStyle name="40% - Accent5 3 3 2" xfId="878"/>
    <cellStyle name="40% - Accent5 3 4" xfId="879"/>
    <cellStyle name="40% - Accent5 3 4 2" xfId="880"/>
    <cellStyle name="40% - Accent5 3 5" xfId="881"/>
    <cellStyle name="40% - Accent5 3 5 2" xfId="882"/>
    <cellStyle name="40% - Accent5 3 6" xfId="883"/>
    <cellStyle name="40% - Accent5 4" xfId="884"/>
    <cellStyle name="40% - Accent5 4 2" xfId="885"/>
    <cellStyle name="40% - Accent5 4 2 2" xfId="886"/>
    <cellStyle name="40% - Accent5 4 3" xfId="887"/>
    <cellStyle name="40% - Accent5 4 3 2" xfId="888"/>
    <cellStyle name="40% - Accent5 4 4" xfId="889"/>
    <cellStyle name="40% - Accent5 4 4 2" xfId="890"/>
    <cellStyle name="40% - Accent5 4 5" xfId="891"/>
    <cellStyle name="40% - Accent5 4 5 2" xfId="892"/>
    <cellStyle name="40% - Accent5 4 6" xfId="893"/>
    <cellStyle name="40% - Accent5 5" xfId="894"/>
    <cellStyle name="40% - Accent5 5 2" xfId="895"/>
    <cellStyle name="40% - Accent5 5 2 2" xfId="896"/>
    <cellStyle name="40% - Accent5 5 3" xfId="897"/>
    <cellStyle name="40% - Accent5 5 3 2" xfId="898"/>
    <cellStyle name="40% - Accent5 5 4" xfId="899"/>
    <cellStyle name="40% - Accent5 5 4 2" xfId="900"/>
    <cellStyle name="40% - Accent5 5 5" xfId="901"/>
    <cellStyle name="40% - Accent5 5 5 2" xfId="902"/>
    <cellStyle name="40% - Accent5 5 6" xfId="903"/>
    <cellStyle name="40% - Accent5 6" xfId="904"/>
    <cellStyle name="40% - Accent5 6 2" xfId="905"/>
    <cellStyle name="40% - Accent5 6 2 2" xfId="906"/>
    <cellStyle name="40% - Accent5 6 3" xfId="907"/>
    <cellStyle name="40% - Accent5 6 3 2" xfId="908"/>
    <cellStyle name="40% - Accent5 6 4" xfId="909"/>
    <cellStyle name="40% - Accent5 6 4 2" xfId="910"/>
    <cellStyle name="40% - Accent5 6 5" xfId="911"/>
    <cellStyle name="40% - Accent5 6 5 2" xfId="912"/>
    <cellStyle name="40% - Accent5 6 6" xfId="913"/>
    <cellStyle name="40% - Accent5 7" xfId="914"/>
    <cellStyle name="40% - Accent5 7 2" xfId="915"/>
    <cellStyle name="40% - Accent5 7 2 2" xfId="916"/>
    <cellStyle name="40% - Accent5 7 3" xfId="917"/>
    <cellStyle name="40% - Accent5 7 3 2" xfId="918"/>
    <cellStyle name="40% - Accent5 7 4" xfId="919"/>
    <cellStyle name="40% - Accent5 7 4 2" xfId="920"/>
    <cellStyle name="40% - Accent5 7 5" xfId="921"/>
    <cellStyle name="40% - Accent5 7 5 2" xfId="922"/>
    <cellStyle name="40% - Accent5 7 6" xfId="923"/>
    <cellStyle name="40% - Accent5 8" xfId="924"/>
    <cellStyle name="40% - Accent5 8 2" xfId="925"/>
    <cellStyle name="40% - Accent5 8 2 2" xfId="926"/>
    <cellStyle name="40% - Accent5 8 3" xfId="927"/>
    <cellStyle name="40% - Accent5 8 3 2" xfId="928"/>
    <cellStyle name="40% - Accent5 8 4" xfId="929"/>
    <cellStyle name="40% - Accent5 8 4 2" xfId="930"/>
    <cellStyle name="40% - Accent5 8 5" xfId="931"/>
    <cellStyle name="40% - Accent5 8 5 2" xfId="932"/>
    <cellStyle name="40% - Accent5 8 6" xfId="933"/>
    <cellStyle name="40% - Accent5 9" xfId="934"/>
    <cellStyle name="40% - Accent5 9 2" xfId="935"/>
    <cellStyle name="40% - Accent6 10" xfId="936"/>
    <cellStyle name="40% - Accent6 11" xfId="937"/>
    <cellStyle name="40% - Accent6 12" xfId="938"/>
    <cellStyle name="40% - Accent6 13" xfId="939"/>
    <cellStyle name="40% - Accent6 14" xfId="940"/>
    <cellStyle name="40% - Accent6 15" xfId="941"/>
    <cellStyle name="40% - Accent6 16" xfId="942"/>
    <cellStyle name="40% - Accent6 17" xfId="943"/>
    <cellStyle name="40% - Accent6 18" xfId="944"/>
    <cellStyle name="40% - Accent6 19" xfId="945"/>
    <cellStyle name="40% - Accent6 2" xfId="946"/>
    <cellStyle name="40% - Accent6 2 2" xfId="947"/>
    <cellStyle name="40% - Accent6 2 2 2" xfId="948"/>
    <cellStyle name="40% - Accent6 2 3" xfId="949"/>
    <cellStyle name="40% - Accent6 2 3 2" xfId="950"/>
    <cellStyle name="40% - Accent6 2 4" xfId="951"/>
    <cellStyle name="40% - Accent6 2 4 2" xfId="952"/>
    <cellStyle name="40% - Accent6 2 5" xfId="953"/>
    <cellStyle name="40% - Accent6 2 5 2" xfId="954"/>
    <cellStyle name="40% - Accent6 2 6" xfId="955"/>
    <cellStyle name="40% - Accent6 20" xfId="956"/>
    <cellStyle name="40% - Accent6 21" xfId="957"/>
    <cellStyle name="40% - Accent6 22" xfId="958"/>
    <cellStyle name="40% - Accent6 3" xfId="959"/>
    <cellStyle name="40% - Accent6 3 2" xfId="960"/>
    <cellStyle name="40% - Accent6 3 2 2" xfId="961"/>
    <cellStyle name="40% - Accent6 3 3" xfId="962"/>
    <cellStyle name="40% - Accent6 3 3 2" xfId="963"/>
    <cellStyle name="40% - Accent6 3 4" xfId="964"/>
    <cellStyle name="40% - Accent6 3 4 2" xfId="965"/>
    <cellStyle name="40% - Accent6 3 5" xfId="966"/>
    <cellStyle name="40% - Accent6 3 5 2" xfId="967"/>
    <cellStyle name="40% - Accent6 3 6" xfId="968"/>
    <cellStyle name="40% - Accent6 4" xfId="969"/>
    <cellStyle name="40% - Accent6 4 2" xfId="970"/>
    <cellStyle name="40% - Accent6 4 2 2" xfId="971"/>
    <cellStyle name="40% - Accent6 4 3" xfId="972"/>
    <cellStyle name="40% - Accent6 4 3 2" xfId="973"/>
    <cellStyle name="40% - Accent6 4 4" xfId="974"/>
    <cellStyle name="40% - Accent6 4 4 2" xfId="975"/>
    <cellStyle name="40% - Accent6 4 5" xfId="976"/>
    <cellStyle name="40% - Accent6 4 5 2" xfId="977"/>
    <cellStyle name="40% - Accent6 4 6" xfId="978"/>
    <cellStyle name="40% - Accent6 5" xfId="979"/>
    <cellStyle name="40% - Accent6 5 2" xfId="980"/>
    <cellStyle name="40% - Accent6 5 2 2" xfId="981"/>
    <cellStyle name="40% - Accent6 5 3" xfId="982"/>
    <cellStyle name="40% - Accent6 5 3 2" xfId="983"/>
    <cellStyle name="40% - Accent6 5 4" xfId="984"/>
    <cellStyle name="40% - Accent6 5 4 2" xfId="985"/>
    <cellStyle name="40% - Accent6 5 5" xfId="986"/>
    <cellStyle name="40% - Accent6 5 5 2" xfId="987"/>
    <cellStyle name="40% - Accent6 5 6" xfId="988"/>
    <cellStyle name="40% - Accent6 6" xfId="989"/>
    <cellStyle name="40% - Accent6 6 2" xfId="990"/>
    <cellStyle name="40% - Accent6 6 2 2" xfId="991"/>
    <cellStyle name="40% - Accent6 6 3" xfId="992"/>
    <cellStyle name="40% - Accent6 6 3 2" xfId="993"/>
    <cellStyle name="40% - Accent6 6 4" xfId="994"/>
    <cellStyle name="40% - Accent6 6 4 2" xfId="995"/>
    <cellStyle name="40% - Accent6 6 5" xfId="996"/>
    <cellStyle name="40% - Accent6 6 5 2" xfId="997"/>
    <cellStyle name="40% - Accent6 6 6" xfId="998"/>
    <cellStyle name="40% - Accent6 7" xfId="999"/>
    <cellStyle name="40% - Accent6 7 2" xfId="1000"/>
    <cellStyle name="40% - Accent6 7 2 2" xfId="1001"/>
    <cellStyle name="40% - Accent6 7 3" xfId="1002"/>
    <cellStyle name="40% - Accent6 7 3 2" xfId="1003"/>
    <cellStyle name="40% - Accent6 7 4" xfId="1004"/>
    <cellStyle name="40% - Accent6 7 4 2" xfId="1005"/>
    <cellStyle name="40% - Accent6 7 5" xfId="1006"/>
    <cellStyle name="40% - Accent6 7 5 2" xfId="1007"/>
    <cellStyle name="40% - Accent6 7 6" xfId="1008"/>
    <cellStyle name="40% - Accent6 8" xfId="1009"/>
    <cellStyle name="40% - Accent6 8 2" xfId="1010"/>
    <cellStyle name="40% - Accent6 8 2 2" xfId="1011"/>
    <cellStyle name="40% - Accent6 8 3" xfId="1012"/>
    <cellStyle name="40% - Accent6 8 3 2" xfId="1013"/>
    <cellStyle name="40% - Accent6 8 4" xfId="1014"/>
    <cellStyle name="40% - Accent6 8 4 2" xfId="1015"/>
    <cellStyle name="40% - Accent6 8 5" xfId="1016"/>
    <cellStyle name="40% - Accent6 8 5 2" xfId="1017"/>
    <cellStyle name="40% - Accent6 8 6" xfId="1018"/>
    <cellStyle name="40% - Accent6 9" xfId="1019"/>
    <cellStyle name="40% - Accent6 9 2" xfId="1020"/>
    <cellStyle name="60% - Accent1 10" xfId="1021"/>
    <cellStyle name="60% - Accent1 11" xfId="1022"/>
    <cellStyle name="60% - Accent1 12" xfId="1023"/>
    <cellStyle name="60% - Accent1 13" xfId="1024"/>
    <cellStyle name="60% - Accent1 14" xfId="1025"/>
    <cellStyle name="60% - Accent1 15" xfId="1026"/>
    <cellStyle name="60% - Accent1 16" xfId="1027"/>
    <cellStyle name="60% - Accent1 17" xfId="1028"/>
    <cellStyle name="60% - Accent1 18" xfId="1029"/>
    <cellStyle name="60% - Accent1 19" xfId="1030"/>
    <cellStyle name="60% - Accent1 2" xfId="1031"/>
    <cellStyle name="60% - Accent1 2 2" xfId="1032"/>
    <cellStyle name="60% - Accent1 2 2 2" xfId="1033"/>
    <cellStyle name="60% - Accent1 2 3" xfId="1034"/>
    <cellStyle name="60% - Accent1 2 3 2" xfId="1035"/>
    <cellStyle name="60% - Accent1 2 4" xfId="1036"/>
    <cellStyle name="60% - Accent1 2 4 2" xfId="1037"/>
    <cellStyle name="60% - Accent1 2 5" xfId="1038"/>
    <cellStyle name="60% - Accent1 2 5 2" xfId="1039"/>
    <cellStyle name="60% - Accent1 2 6" xfId="1040"/>
    <cellStyle name="60% - Accent1 20" xfId="1041"/>
    <cellStyle name="60% - Accent1 21" xfId="1042"/>
    <cellStyle name="60% - Accent1 22" xfId="1043"/>
    <cellStyle name="60% - Accent1 3" xfId="1044"/>
    <cellStyle name="60% - Accent1 3 2" xfId="1045"/>
    <cellStyle name="60% - Accent1 3 2 2" xfId="1046"/>
    <cellStyle name="60% - Accent1 3 3" xfId="1047"/>
    <cellStyle name="60% - Accent1 3 3 2" xfId="1048"/>
    <cellStyle name="60% - Accent1 3 4" xfId="1049"/>
    <cellStyle name="60% - Accent1 3 4 2" xfId="1050"/>
    <cellStyle name="60% - Accent1 3 5" xfId="1051"/>
    <cellStyle name="60% - Accent1 3 5 2" xfId="1052"/>
    <cellStyle name="60% - Accent1 3 6" xfId="1053"/>
    <cellStyle name="60% - Accent1 4" xfId="1054"/>
    <cellStyle name="60% - Accent1 4 2" xfId="1055"/>
    <cellStyle name="60% - Accent1 4 2 2" xfId="1056"/>
    <cellStyle name="60% - Accent1 4 3" xfId="1057"/>
    <cellStyle name="60% - Accent1 4 3 2" xfId="1058"/>
    <cellStyle name="60% - Accent1 4 4" xfId="1059"/>
    <cellStyle name="60% - Accent1 4 4 2" xfId="1060"/>
    <cellStyle name="60% - Accent1 4 5" xfId="1061"/>
    <cellStyle name="60% - Accent1 4 5 2" xfId="1062"/>
    <cellStyle name="60% - Accent1 4 6" xfId="1063"/>
    <cellStyle name="60% - Accent1 5" xfId="1064"/>
    <cellStyle name="60% - Accent1 5 2" xfId="1065"/>
    <cellStyle name="60% - Accent1 5 2 2" xfId="1066"/>
    <cellStyle name="60% - Accent1 5 3" xfId="1067"/>
    <cellStyle name="60% - Accent1 5 3 2" xfId="1068"/>
    <cellStyle name="60% - Accent1 5 4" xfId="1069"/>
    <cellStyle name="60% - Accent1 5 4 2" xfId="1070"/>
    <cellStyle name="60% - Accent1 5 5" xfId="1071"/>
    <cellStyle name="60% - Accent1 5 5 2" xfId="1072"/>
    <cellStyle name="60% - Accent1 5 6" xfId="1073"/>
    <cellStyle name="60% - Accent1 6" xfId="1074"/>
    <cellStyle name="60% - Accent1 6 2" xfId="1075"/>
    <cellStyle name="60% - Accent1 6 2 2" xfId="1076"/>
    <cellStyle name="60% - Accent1 6 3" xfId="1077"/>
    <cellStyle name="60% - Accent1 6 3 2" xfId="1078"/>
    <cellStyle name="60% - Accent1 6 4" xfId="1079"/>
    <cellStyle name="60% - Accent1 6 4 2" xfId="1080"/>
    <cellStyle name="60% - Accent1 6 5" xfId="1081"/>
    <cellStyle name="60% - Accent1 6 5 2" xfId="1082"/>
    <cellStyle name="60% - Accent1 6 6" xfId="1083"/>
    <cellStyle name="60% - Accent1 7" xfId="1084"/>
    <cellStyle name="60% - Accent1 7 2" xfId="1085"/>
    <cellStyle name="60% - Accent1 7 2 2" xfId="1086"/>
    <cellStyle name="60% - Accent1 7 3" xfId="1087"/>
    <cellStyle name="60% - Accent1 7 3 2" xfId="1088"/>
    <cellStyle name="60% - Accent1 7 4" xfId="1089"/>
    <cellStyle name="60% - Accent1 7 4 2" xfId="1090"/>
    <cellStyle name="60% - Accent1 7 5" xfId="1091"/>
    <cellStyle name="60% - Accent1 7 5 2" xfId="1092"/>
    <cellStyle name="60% - Accent1 7 6" xfId="1093"/>
    <cellStyle name="60% - Accent1 8" xfId="1094"/>
    <cellStyle name="60% - Accent1 8 2" xfId="1095"/>
    <cellStyle name="60% - Accent1 8 2 2" xfId="1096"/>
    <cellStyle name="60% - Accent1 8 3" xfId="1097"/>
    <cellStyle name="60% - Accent1 8 3 2" xfId="1098"/>
    <cellStyle name="60% - Accent1 8 4" xfId="1099"/>
    <cellStyle name="60% - Accent1 8 4 2" xfId="1100"/>
    <cellStyle name="60% - Accent1 8 5" xfId="1101"/>
    <cellStyle name="60% - Accent1 8 5 2" xfId="1102"/>
    <cellStyle name="60% - Accent1 8 6" xfId="1103"/>
    <cellStyle name="60% - Accent1 9" xfId="1104"/>
    <cellStyle name="60% - Accent1 9 2" xfId="1105"/>
    <cellStyle name="60% - Accent2 10" xfId="1106"/>
    <cellStyle name="60% - Accent2 11" xfId="1107"/>
    <cellStyle name="60% - Accent2 12" xfId="1108"/>
    <cellStyle name="60% - Accent2 13" xfId="1109"/>
    <cellStyle name="60% - Accent2 14" xfId="1110"/>
    <cellStyle name="60% - Accent2 15" xfId="1111"/>
    <cellStyle name="60% - Accent2 16" xfId="1112"/>
    <cellStyle name="60% - Accent2 17" xfId="1113"/>
    <cellStyle name="60% - Accent2 18" xfId="1114"/>
    <cellStyle name="60% - Accent2 19" xfId="1115"/>
    <cellStyle name="60% - Accent2 2" xfId="1116"/>
    <cellStyle name="60% - Accent2 2 2" xfId="1117"/>
    <cellStyle name="60% - Accent2 2 2 2" xfId="1118"/>
    <cellStyle name="60% - Accent2 2 3" xfId="1119"/>
    <cellStyle name="60% - Accent2 2 3 2" xfId="1120"/>
    <cellStyle name="60% - Accent2 2 4" xfId="1121"/>
    <cellStyle name="60% - Accent2 2 4 2" xfId="1122"/>
    <cellStyle name="60% - Accent2 2 5" xfId="1123"/>
    <cellStyle name="60% - Accent2 2 5 2" xfId="1124"/>
    <cellStyle name="60% - Accent2 2 6" xfId="1125"/>
    <cellStyle name="60% - Accent2 20" xfId="1126"/>
    <cellStyle name="60% - Accent2 21" xfId="1127"/>
    <cellStyle name="60% - Accent2 22" xfId="1128"/>
    <cellStyle name="60% - Accent2 3" xfId="1129"/>
    <cellStyle name="60% - Accent2 3 2" xfId="1130"/>
    <cellStyle name="60% - Accent2 3 2 2" xfId="1131"/>
    <cellStyle name="60% - Accent2 3 3" xfId="1132"/>
    <cellStyle name="60% - Accent2 3 3 2" xfId="1133"/>
    <cellStyle name="60% - Accent2 3 4" xfId="1134"/>
    <cellStyle name="60% - Accent2 3 4 2" xfId="1135"/>
    <cellStyle name="60% - Accent2 3 5" xfId="1136"/>
    <cellStyle name="60% - Accent2 3 5 2" xfId="1137"/>
    <cellStyle name="60% - Accent2 3 6" xfId="1138"/>
    <cellStyle name="60% - Accent2 4" xfId="1139"/>
    <cellStyle name="60% - Accent2 4 2" xfId="1140"/>
    <cellStyle name="60% - Accent2 4 2 2" xfId="1141"/>
    <cellStyle name="60% - Accent2 4 3" xfId="1142"/>
    <cellStyle name="60% - Accent2 4 3 2" xfId="1143"/>
    <cellStyle name="60% - Accent2 4 4" xfId="1144"/>
    <cellStyle name="60% - Accent2 4 4 2" xfId="1145"/>
    <cellStyle name="60% - Accent2 4 5" xfId="1146"/>
    <cellStyle name="60% - Accent2 4 5 2" xfId="1147"/>
    <cellStyle name="60% - Accent2 4 6" xfId="1148"/>
    <cellStyle name="60% - Accent2 5" xfId="1149"/>
    <cellStyle name="60% - Accent2 5 2" xfId="1150"/>
    <cellStyle name="60% - Accent2 5 2 2" xfId="1151"/>
    <cellStyle name="60% - Accent2 5 3" xfId="1152"/>
    <cellStyle name="60% - Accent2 5 3 2" xfId="1153"/>
    <cellStyle name="60% - Accent2 5 4" xfId="1154"/>
    <cellStyle name="60% - Accent2 5 4 2" xfId="1155"/>
    <cellStyle name="60% - Accent2 5 5" xfId="1156"/>
    <cellStyle name="60% - Accent2 5 5 2" xfId="1157"/>
    <cellStyle name="60% - Accent2 5 6" xfId="1158"/>
    <cellStyle name="60% - Accent2 6" xfId="1159"/>
    <cellStyle name="60% - Accent2 6 2" xfId="1160"/>
    <cellStyle name="60% - Accent2 6 2 2" xfId="1161"/>
    <cellStyle name="60% - Accent2 6 3" xfId="1162"/>
    <cellStyle name="60% - Accent2 6 3 2" xfId="1163"/>
    <cellStyle name="60% - Accent2 6 4" xfId="1164"/>
    <cellStyle name="60% - Accent2 6 4 2" xfId="1165"/>
    <cellStyle name="60% - Accent2 6 5" xfId="1166"/>
    <cellStyle name="60% - Accent2 6 5 2" xfId="1167"/>
    <cellStyle name="60% - Accent2 6 6" xfId="1168"/>
    <cellStyle name="60% - Accent2 7" xfId="1169"/>
    <cellStyle name="60% - Accent2 7 2" xfId="1170"/>
    <cellStyle name="60% - Accent2 7 2 2" xfId="1171"/>
    <cellStyle name="60% - Accent2 7 3" xfId="1172"/>
    <cellStyle name="60% - Accent2 7 3 2" xfId="1173"/>
    <cellStyle name="60% - Accent2 7 4" xfId="1174"/>
    <cellStyle name="60% - Accent2 7 4 2" xfId="1175"/>
    <cellStyle name="60% - Accent2 7 5" xfId="1176"/>
    <cellStyle name="60% - Accent2 7 5 2" xfId="1177"/>
    <cellStyle name="60% - Accent2 7 6" xfId="1178"/>
    <cellStyle name="60% - Accent2 8" xfId="1179"/>
    <cellStyle name="60% - Accent2 8 2" xfId="1180"/>
    <cellStyle name="60% - Accent2 8 2 2" xfId="1181"/>
    <cellStyle name="60% - Accent2 8 3" xfId="1182"/>
    <cellStyle name="60% - Accent2 8 3 2" xfId="1183"/>
    <cellStyle name="60% - Accent2 8 4" xfId="1184"/>
    <cellStyle name="60% - Accent2 8 4 2" xfId="1185"/>
    <cellStyle name="60% - Accent2 8 5" xfId="1186"/>
    <cellStyle name="60% - Accent2 8 5 2" xfId="1187"/>
    <cellStyle name="60% - Accent2 8 6" xfId="1188"/>
    <cellStyle name="60% - Accent2 9" xfId="1189"/>
    <cellStyle name="60% - Accent2 9 2" xfId="1190"/>
    <cellStyle name="60% - Accent3 10" xfId="1191"/>
    <cellStyle name="60% - Accent3 11" xfId="1192"/>
    <cellStyle name="60% - Accent3 12" xfId="1193"/>
    <cellStyle name="60% - Accent3 13" xfId="1194"/>
    <cellStyle name="60% - Accent3 14" xfId="1195"/>
    <cellStyle name="60% - Accent3 15" xfId="1196"/>
    <cellStyle name="60% - Accent3 16" xfId="1197"/>
    <cellStyle name="60% - Accent3 17" xfId="1198"/>
    <cellStyle name="60% - Accent3 18" xfId="1199"/>
    <cellStyle name="60% - Accent3 19" xfId="1200"/>
    <cellStyle name="60% - Accent3 2" xfId="1201"/>
    <cellStyle name="60% - Accent3 2 2" xfId="1202"/>
    <cellStyle name="60% - Accent3 2 2 2" xfId="1203"/>
    <cellStyle name="60% - Accent3 2 3" xfId="1204"/>
    <cellStyle name="60% - Accent3 2 3 2" xfId="1205"/>
    <cellStyle name="60% - Accent3 2 4" xfId="1206"/>
    <cellStyle name="60% - Accent3 2 4 2" xfId="1207"/>
    <cellStyle name="60% - Accent3 2 5" xfId="1208"/>
    <cellStyle name="60% - Accent3 2 5 2" xfId="1209"/>
    <cellStyle name="60% - Accent3 2 6" xfId="1210"/>
    <cellStyle name="60% - Accent3 20" xfId="1211"/>
    <cellStyle name="60% - Accent3 21" xfId="1212"/>
    <cellStyle name="60% - Accent3 22" xfId="1213"/>
    <cellStyle name="60% - Accent3 3" xfId="1214"/>
    <cellStyle name="60% - Accent3 3 2" xfId="1215"/>
    <cellStyle name="60% - Accent3 3 2 2" xfId="1216"/>
    <cellStyle name="60% - Accent3 3 3" xfId="1217"/>
    <cellStyle name="60% - Accent3 3 3 2" xfId="1218"/>
    <cellStyle name="60% - Accent3 3 4" xfId="1219"/>
    <cellStyle name="60% - Accent3 3 4 2" xfId="1220"/>
    <cellStyle name="60% - Accent3 3 5" xfId="1221"/>
    <cellStyle name="60% - Accent3 3 5 2" xfId="1222"/>
    <cellStyle name="60% - Accent3 3 6" xfId="1223"/>
    <cellStyle name="60% - Accent3 4" xfId="1224"/>
    <cellStyle name="60% - Accent3 4 2" xfId="1225"/>
    <cellStyle name="60% - Accent3 4 2 2" xfId="1226"/>
    <cellStyle name="60% - Accent3 4 3" xfId="1227"/>
    <cellStyle name="60% - Accent3 4 3 2" xfId="1228"/>
    <cellStyle name="60% - Accent3 4 4" xfId="1229"/>
    <cellStyle name="60% - Accent3 4 4 2" xfId="1230"/>
    <cellStyle name="60% - Accent3 4 5" xfId="1231"/>
    <cellStyle name="60% - Accent3 4 5 2" xfId="1232"/>
    <cellStyle name="60% - Accent3 4 6" xfId="1233"/>
    <cellStyle name="60% - Accent3 5" xfId="1234"/>
    <cellStyle name="60% - Accent3 5 2" xfId="1235"/>
    <cellStyle name="60% - Accent3 5 2 2" xfId="1236"/>
    <cellStyle name="60% - Accent3 5 3" xfId="1237"/>
    <cellStyle name="60% - Accent3 5 3 2" xfId="1238"/>
    <cellStyle name="60% - Accent3 5 4" xfId="1239"/>
    <cellStyle name="60% - Accent3 5 4 2" xfId="1240"/>
    <cellStyle name="60% - Accent3 5 5" xfId="1241"/>
    <cellStyle name="60% - Accent3 5 5 2" xfId="1242"/>
    <cellStyle name="60% - Accent3 5 6" xfId="1243"/>
    <cellStyle name="60% - Accent3 6" xfId="1244"/>
    <cellStyle name="60% - Accent3 6 2" xfId="1245"/>
    <cellStyle name="60% - Accent3 6 2 2" xfId="1246"/>
    <cellStyle name="60% - Accent3 6 3" xfId="1247"/>
    <cellStyle name="60% - Accent3 6 3 2" xfId="1248"/>
    <cellStyle name="60% - Accent3 6 4" xfId="1249"/>
    <cellStyle name="60% - Accent3 6 4 2" xfId="1250"/>
    <cellStyle name="60% - Accent3 6 5" xfId="1251"/>
    <cellStyle name="60% - Accent3 6 5 2" xfId="1252"/>
    <cellStyle name="60% - Accent3 6 6" xfId="1253"/>
    <cellStyle name="60% - Accent3 7" xfId="1254"/>
    <cellStyle name="60% - Accent3 7 2" xfId="1255"/>
    <cellStyle name="60% - Accent3 7 2 2" xfId="1256"/>
    <cellStyle name="60% - Accent3 7 3" xfId="1257"/>
    <cellStyle name="60% - Accent3 7 3 2" xfId="1258"/>
    <cellStyle name="60% - Accent3 7 4" xfId="1259"/>
    <cellStyle name="60% - Accent3 7 4 2" xfId="1260"/>
    <cellStyle name="60% - Accent3 7 5" xfId="1261"/>
    <cellStyle name="60% - Accent3 7 5 2" xfId="1262"/>
    <cellStyle name="60% - Accent3 7 6" xfId="1263"/>
    <cellStyle name="60% - Accent3 8" xfId="1264"/>
    <cellStyle name="60% - Accent3 8 2" xfId="1265"/>
    <cellStyle name="60% - Accent3 8 2 2" xfId="1266"/>
    <cellStyle name="60% - Accent3 8 3" xfId="1267"/>
    <cellStyle name="60% - Accent3 8 3 2" xfId="1268"/>
    <cellStyle name="60% - Accent3 8 4" xfId="1269"/>
    <cellStyle name="60% - Accent3 8 4 2" xfId="1270"/>
    <cellStyle name="60% - Accent3 8 5" xfId="1271"/>
    <cellStyle name="60% - Accent3 8 5 2" xfId="1272"/>
    <cellStyle name="60% - Accent3 8 6" xfId="1273"/>
    <cellStyle name="60% - Accent3 9" xfId="1274"/>
    <cellStyle name="60% - Accent3 9 2" xfId="1275"/>
    <cellStyle name="60% - Accent4 10" xfId="1276"/>
    <cellStyle name="60% - Accent4 11" xfId="1277"/>
    <cellStyle name="60% - Accent4 12" xfId="1278"/>
    <cellStyle name="60% - Accent4 13" xfId="1279"/>
    <cellStyle name="60% - Accent4 14" xfId="1280"/>
    <cellStyle name="60% - Accent4 15" xfId="1281"/>
    <cellStyle name="60% - Accent4 16" xfId="1282"/>
    <cellStyle name="60% - Accent4 17" xfId="1283"/>
    <cellStyle name="60% - Accent4 18" xfId="1284"/>
    <cellStyle name="60% - Accent4 19" xfId="1285"/>
    <cellStyle name="60% - Accent4 2" xfId="1286"/>
    <cellStyle name="60% - Accent4 2 2" xfId="1287"/>
    <cellStyle name="60% - Accent4 2 2 2" xfId="1288"/>
    <cellStyle name="60% - Accent4 2 3" xfId="1289"/>
    <cellStyle name="60% - Accent4 2 3 2" xfId="1290"/>
    <cellStyle name="60% - Accent4 2 4" xfId="1291"/>
    <cellStyle name="60% - Accent4 2 4 2" xfId="1292"/>
    <cellStyle name="60% - Accent4 2 5" xfId="1293"/>
    <cellStyle name="60% - Accent4 2 5 2" xfId="1294"/>
    <cellStyle name="60% - Accent4 2 6" xfId="1295"/>
    <cellStyle name="60% - Accent4 20" xfId="1296"/>
    <cellStyle name="60% - Accent4 21" xfId="1297"/>
    <cellStyle name="60% - Accent4 22" xfId="1298"/>
    <cellStyle name="60% - Accent4 3" xfId="1299"/>
    <cellStyle name="60% - Accent4 3 2" xfId="1300"/>
    <cellStyle name="60% - Accent4 3 2 2" xfId="1301"/>
    <cellStyle name="60% - Accent4 3 3" xfId="1302"/>
    <cellStyle name="60% - Accent4 3 3 2" xfId="1303"/>
    <cellStyle name="60% - Accent4 3 4" xfId="1304"/>
    <cellStyle name="60% - Accent4 3 4 2" xfId="1305"/>
    <cellStyle name="60% - Accent4 3 5" xfId="1306"/>
    <cellStyle name="60% - Accent4 3 5 2" xfId="1307"/>
    <cellStyle name="60% - Accent4 3 6" xfId="1308"/>
    <cellStyle name="60% - Accent4 4" xfId="1309"/>
    <cellStyle name="60% - Accent4 4 2" xfId="1310"/>
    <cellStyle name="60% - Accent4 4 2 2" xfId="1311"/>
    <cellStyle name="60% - Accent4 4 3" xfId="1312"/>
    <cellStyle name="60% - Accent4 4 3 2" xfId="1313"/>
    <cellStyle name="60% - Accent4 4 4" xfId="1314"/>
    <cellStyle name="60% - Accent4 4 4 2" xfId="1315"/>
    <cellStyle name="60% - Accent4 4 5" xfId="1316"/>
    <cellStyle name="60% - Accent4 4 5 2" xfId="1317"/>
    <cellStyle name="60% - Accent4 4 6" xfId="1318"/>
    <cellStyle name="60% - Accent4 5" xfId="1319"/>
    <cellStyle name="60% - Accent4 5 2" xfId="1320"/>
    <cellStyle name="60% - Accent4 5 2 2" xfId="1321"/>
    <cellStyle name="60% - Accent4 5 3" xfId="1322"/>
    <cellStyle name="60% - Accent4 5 3 2" xfId="1323"/>
    <cellStyle name="60% - Accent4 5 4" xfId="1324"/>
    <cellStyle name="60% - Accent4 5 4 2" xfId="1325"/>
    <cellStyle name="60% - Accent4 5 5" xfId="1326"/>
    <cellStyle name="60% - Accent4 5 5 2" xfId="1327"/>
    <cellStyle name="60% - Accent4 5 6" xfId="1328"/>
    <cellStyle name="60% - Accent4 6" xfId="1329"/>
    <cellStyle name="60% - Accent4 6 2" xfId="1330"/>
    <cellStyle name="60% - Accent4 6 2 2" xfId="1331"/>
    <cellStyle name="60% - Accent4 6 3" xfId="1332"/>
    <cellStyle name="60% - Accent4 6 3 2" xfId="1333"/>
    <cellStyle name="60% - Accent4 6 4" xfId="1334"/>
    <cellStyle name="60% - Accent4 6 4 2" xfId="1335"/>
    <cellStyle name="60% - Accent4 6 5" xfId="1336"/>
    <cellStyle name="60% - Accent4 6 5 2" xfId="1337"/>
    <cellStyle name="60% - Accent4 6 6" xfId="1338"/>
    <cellStyle name="60% - Accent4 7" xfId="1339"/>
    <cellStyle name="60% - Accent4 7 2" xfId="1340"/>
    <cellStyle name="60% - Accent4 7 2 2" xfId="1341"/>
    <cellStyle name="60% - Accent4 7 3" xfId="1342"/>
    <cellStyle name="60% - Accent4 7 3 2" xfId="1343"/>
    <cellStyle name="60% - Accent4 7 4" xfId="1344"/>
    <cellStyle name="60% - Accent4 7 4 2" xfId="1345"/>
    <cellStyle name="60% - Accent4 7 5" xfId="1346"/>
    <cellStyle name="60% - Accent4 7 5 2" xfId="1347"/>
    <cellStyle name="60% - Accent4 7 6" xfId="1348"/>
    <cellStyle name="60% - Accent4 8" xfId="1349"/>
    <cellStyle name="60% - Accent4 8 2" xfId="1350"/>
    <cellStyle name="60% - Accent4 8 2 2" xfId="1351"/>
    <cellStyle name="60% - Accent4 8 3" xfId="1352"/>
    <cellStyle name="60% - Accent4 8 3 2" xfId="1353"/>
    <cellStyle name="60% - Accent4 8 4" xfId="1354"/>
    <cellStyle name="60% - Accent4 8 4 2" xfId="1355"/>
    <cellStyle name="60% - Accent4 8 5" xfId="1356"/>
    <cellStyle name="60% - Accent4 8 5 2" xfId="1357"/>
    <cellStyle name="60% - Accent4 8 6" xfId="1358"/>
    <cellStyle name="60% - Accent4 9" xfId="1359"/>
    <cellStyle name="60% - Accent4 9 2" xfId="1360"/>
    <cellStyle name="60% - Accent5 10" xfId="1361"/>
    <cellStyle name="60% - Accent5 11" xfId="1362"/>
    <cellStyle name="60% - Accent5 12" xfId="1363"/>
    <cellStyle name="60% - Accent5 13" xfId="1364"/>
    <cellStyle name="60% - Accent5 14" xfId="1365"/>
    <cellStyle name="60% - Accent5 15" xfId="1366"/>
    <cellStyle name="60% - Accent5 16" xfId="1367"/>
    <cellStyle name="60% - Accent5 17" xfId="1368"/>
    <cellStyle name="60% - Accent5 18" xfId="1369"/>
    <cellStyle name="60% - Accent5 19" xfId="1370"/>
    <cellStyle name="60% - Accent5 2" xfId="1371"/>
    <cellStyle name="60% - Accent5 2 2" xfId="1372"/>
    <cellStyle name="60% - Accent5 2 2 2" xfId="1373"/>
    <cellStyle name="60% - Accent5 2 3" xfId="1374"/>
    <cellStyle name="60% - Accent5 2 3 2" xfId="1375"/>
    <cellStyle name="60% - Accent5 2 4" xfId="1376"/>
    <cellStyle name="60% - Accent5 2 4 2" xfId="1377"/>
    <cellStyle name="60% - Accent5 2 5" xfId="1378"/>
    <cellStyle name="60% - Accent5 2 5 2" xfId="1379"/>
    <cellStyle name="60% - Accent5 2 6" xfId="1380"/>
    <cellStyle name="60% - Accent5 20" xfId="1381"/>
    <cellStyle name="60% - Accent5 21" xfId="1382"/>
    <cellStyle name="60% - Accent5 22" xfId="1383"/>
    <cellStyle name="60% - Accent5 3" xfId="1384"/>
    <cellStyle name="60% - Accent5 3 2" xfId="1385"/>
    <cellStyle name="60% - Accent5 3 2 2" xfId="1386"/>
    <cellStyle name="60% - Accent5 3 3" xfId="1387"/>
    <cellStyle name="60% - Accent5 3 3 2" xfId="1388"/>
    <cellStyle name="60% - Accent5 3 4" xfId="1389"/>
    <cellStyle name="60% - Accent5 3 4 2" xfId="1390"/>
    <cellStyle name="60% - Accent5 3 5" xfId="1391"/>
    <cellStyle name="60% - Accent5 3 5 2" xfId="1392"/>
    <cellStyle name="60% - Accent5 3 6" xfId="1393"/>
    <cellStyle name="60% - Accent5 4" xfId="1394"/>
    <cellStyle name="60% - Accent5 4 2" xfId="1395"/>
    <cellStyle name="60% - Accent5 4 2 2" xfId="1396"/>
    <cellStyle name="60% - Accent5 4 3" xfId="1397"/>
    <cellStyle name="60% - Accent5 4 3 2" xfId="1398"/>
    <cellStyle name="60% - Accent5 4 4" xfId="1399"/>
    <cellStyle name="60% - Accent5 4 4 2" xfId="1400"/>
    <cellStyle name="60% - Accent5 4 5" xfId="1401"/>
    <cellStyle name="60% - Accent5 4 5 2" xfId="1402"/>
    <cellStyle name="60% - Accent5 4 6" xfId="1403"/>
    <cellStyle name="60% - Accent5 5" xfId="1404"/>
    <cellStyle name="60% - Accent5 5 2" xfId="1405"/>
    <cellStyle name="60% - Accent5 5 2 2" xfId="1406"/>
    <cellStyle name="60% - Accent5 5 3" xfId="1407"/>
    <cellStyle name="60% - Accent5 5 3 2" xfId="1408"/>
    <cellStyle name="60% - Accent5 5 4" xfId="1409"/>
    <cellStyle name="60% - Accent5 5 4 2" xfId="1410"/>
    <cellStyle name="60% - Accent5 5 5" xfId="1411"/>
    <cellStyle name="60% - Accent5 5 5 2" xfId="1412"/>
    <cellStyle name="60% - Accent5 5 6" xfId="1413"/>
    <cellStyle name="60% - Accent5 6" xfId="1414"/>
    <cellStyle name="60% - Accent5 6 2" xfId="1415"/>
    <cellStyle name="60% - Accent5 6 2 2" xfId="1416"/>
    <cellStyle name="60% - Accent5 6 3" xfId="1417"/>
    <cellStyle name="60% - Accent5 6 3 2" xfId="1418"/>
    <cellStyle name="60% - Accent5 6 4" xfId="1419"/>
    <cellStyle name="60% - Accent5 6 4 2" xfId="1420"/>
    <cellStyle name="60% - Accent5 6 5" xfId="1421"/>
    <cellStyle name="60% - Accent5 6 5 2" xfId="1422"/>
    <cellStyle name="60% - Accent5 6 6" xfId="1423"/>
    <cellStyle name="60% - Accent5 7" xfId="1424"/>
    <cellStyle name="60% - Accent5 7 2" xfId="1425"/>
    <cellStyle name="60% - Accent5 7 2 2" xfId="1426"/>
    <cellStyle name="60% - Accent5 7 3" xfId="1427"/>
    <cellStyle name="60% - Accent5 7 3 2" xfId="1428"/>
    <cellStyle name="60% - Accent5 7 4" xfId="1429"/>
    <cellStyle name="60% - Accent5 7 4 2" xfId="1430"/>
    <cellStyle name="60% - Accent5 7 5" xfId="1431"/>
    <cellStyle name="60% - Accent5 7 5 2" xfId="1432"/>
    <cellStyle name="60% - Accent5 7 6" xfId="1433"/>
    <cellStyle name="60% - Accent5 8" xfId="1434"/>
    <cellStyle name="60% - Accent5 8 2" xfId="1435"/>
    <cellStyle name="60% - Accent5 8 2 2" xfId="1436"/>
    <cellStyle name="60% - Accent5 8 3" xfId="1437"/>
    <cellStyle name="60% - Accent5 8 3 2" xfId="1438"/>
    <cellStyle name="60% - Accent5 8 4" xfId="1439"/>
    <cellStyle name="60% - Accent5 8 4 2" xfId="1440"/>
    <cellStyle name="60% - Accent5 8 5" xfId="1441"/>
    <cellStyle name="60% - Accent5 8 5 2" xfId="1442"/>
    <cellStyle name="60% - Accent5 8 6" xfId="1443"/>
    <cellStyle name="60% - Accent5 9" xfId="1444"/>
    <cellStyle name="60% - Accent5 9 2" xfId="1445"/>
    <cellStyle name="60% - Accent6 10" xfId="1446"/>
    <cellStyle name="60% - Accent6 11" xfId="1447"/>
    <cellStyle name="60% - Accent6 12" xfId="1448"/>
    <cellStyle name="60% - Accent6 13" xfId="1449"/>
    <cellStyle name="60% - Accent6 14" xfId="1450"/>
    <cellStyle name="60% - Accent6 15" xfId="1451"/>
    <cellStyle name="60% - Accent6 16" xfId="1452"/>
    <cellStyle name="60% - Accent6 17" xfId="1453"/>
    <cellStyle name="60% - Accent6 18" xfId="1454"/>
    <cellStyle name="60% - Accent6 19" xfId="1455"/>
    <cellStyle name="60% - Accent6 2" xfId="1456"/>
    <cellStyle name="60% - Accent6 2 2" xfId="1457"/>
    <cellStyle name="60% - Accent6 2 2 2" xfId="1458"/>
    <cellStyle name="60% - Accent6 2 3" xfId="1459"/>
    <cellStyle name="60% - Accent6 2 3 2" xfId="1460"/>
    <cellStyle name="60% - Accent6 2 4" xfId="1461"/>
    <cellStyle name="60% - Accent6 2 4 2" xfId="1462"/>
    <cellStyle name="60% - Accent6 2 5" xfId="1463"/>
    <cellStyle name="60% - Accent6 2 5 2" xfId="1464"/>
    <cellStyle name="60% - Accent6 2 6" xfId="1465"/>
    <cellStyle name="60% - Accent6 20" xfId="1466"/>
    <cellStyle name="60% - Accent6 21" xfId="1467"/>
    <cellStyle name="60% - Accent6 22" xfId="1468"/>
    <cellStyle name="60% - Accent6 3" xfId="1469"/>
    <cellStyle name="60% - Accent6 3 2" xfId="1470"/>
    <cellStyle name="60% - Accent6 3 2 2" xfId="1471"/>
    <cellStyle name="60% - Accent6 3 3" xfId="1472"/>
    <cellStyle name="60% - Accent6 3 3 2" xfId="1473"/>
    <cellStyle name="60% - Accent6 3 4" xfId="1474"/>
    <cellStyle name="60% - Accent6 3 4 2" xfId="1475"/>
    <cellStyle name="60% - Accent6 3 5" xfId="1476"/>
    <cellStyle name="60% - Accent6 3 5 2" xfId="1477"/>
    <cellStyle name="60% - Accent6 3 6" xfId="1478"/>
    <cellStyle name="60% - Accent6 4" xfId="1479"/>
    <cellStyle name="60% - Accent6 4 2" xfId="1480"/>
    <cellStyle name="60% - Accent6 4 2 2" xfId="1481"/>
    <cellStyle name="60% - Accent6 4 3" xfId="1482"/>
    <cellStyle name="60% - Accent6 4 3 2" xfId="1483"/>
    <cellStyle name="60% - Accent6 4 4" xfId="1484"/>
    <cellStyle name="60% - Accent6 4 4 2" xfId="1485"/>
    <cellStyle name="60% - Accent6 4 5" xfId="1486"/>
    <cellStyle name="60% - Accent6 4 5 2" xfId="1487"/>
    <cellStyle name="60% - Accent6 4 6" xfId="1488"/>
    <cellStyle name="60% - Accent6 5" xfId="1489"/>
    <cellStyle name="60% - Accent6 5 2" xfId="1490"/>
    <cellStyle name="60% - Accent6 5 2 2" xfId="1491"/>
    <cellStyle name="60% - Accent6 5 3" xfId="1492"/>
    <cellStyle name="60% - Accent6 5 3 2" xfId="1493"/>
    <cellStyle name="60% - Accent6 5 4" xfId="1494"/>
    <cellStyle name="60% - Accent6 5 4 2" xfId="1495"/>
    <cellStyle name="60% - Accent6 5 5" xfId="1496"/>
    <cellStyle name="60% - Accent6 5 5 2" xfId="1497"/>
    <cellStyle name="60% - Accent6 5 6" xfId="1498"/>
    <cellStyle name="60% - Accent6 6" xfId="1499"/>
    <cellStyle name="60% - Accent6 6 2" xfId="1500"/>
    <cellStyle name="60% - Accent6 6 2 2" xfId="1501"/>
    <cellStyle name="60% - Accent6 6 3" xfId="1502"/>
    <cellStyle name="60% - Accent6 6 3 2" xfId="1503"/>
    <cellStyle name="60% - Accent6 6 4" xfId="1504"/>
    <cellStyle name="60% - Accent6 6 4 2" xfId="1505"/>
    <cellStyle name="60% - Accent6 6 5" xfId="1506"/>
    <cellStyle name="60% - Accent6 6 5 2" xfId="1507"/>
    <cellStyle name="60% - Accent6 6 6" xfId="1508"/>
    <cellStyle name="60% - Accent6 7" xfId="1509"/>
    <cellStyle name="60% - Accent6 7 2" xfId="1510"/>
    <cellStyle name="60% - Accent6 7 2 2" xfId="1511"/>
    <cellStyle name="60% - Accent6 7 3" xfId="1512"/>
    <cellStyle name="60% - Accent6 7 3 2" xfId="1513"/>
    <cellStyle name="60% - Accent6 7 4" xfId="1514"/>
    <cellStyle name="60% - Accent6 7 4 2" xfId="1515"/>
    <cellStyle name="60% - Accent6 7 5" xfId="1516"/>
    <cellStyle name="60% - Accent6 7 5 2" xfId="1517"/>
    <cellStyle name="60% - Accent6 7 6" xfId="1518"/>
    <cellStyle name="60% - Accent6 8" xfId="1519"/>
    <cellStyle name="60% - Accent6 8 2" xfId="1520"/>
    <cellStyle name="60% - Accent6 8 2 2" xfId="1521"/>
    <cellStyle name="60% - Accent6 8 3" xfId="1522"/>
    <cellStyle name="60% - Accent6 8 3 2" xfId="1523"/>
    <cellStyle name="60% - Accent6 8 4" xfId="1524"/>
    <cellStyle name="60% - Accent6 8 4 2" xfId="1525"/>
    <cellStyle name="60% - Accent6 8 5" xfId="1526"/>
    <cellStyle name="60% - Accent6 8 5 2" xfId="1527"/>
    <cellStyle name="60% - Accent6 8 6" xfId="1528"/>
    <cellStyle name="60% - Accent6 9" xfId="1529"/>
    <cellStyle name="60% - Accent6 9 2" xfId="1530"/>
    <cellStyle name="Accent1 10" xfId="1531"/>
    <cellStyle name="Accent1 11" xfId="1532"/>
    <cellStyle name="Accent1 12" xfId="1533"/>
    <cellStyle name="Accent1 13" xfId="1534"/>
    <cellStyle name="Accent1 14" xfId="1535"/>
    <cellStyle name="Accent1 15" xfId="1536"/>
    <cellStyle name="Accent1 16" xfId="1537"/>
    <cellStyle name="Accent1 17" xfId="1538"/>
    <cellStyle name="Accent1 18" xfId="1539"/>
    <cellStyle name="Accent1 19" xfId="1540"/>
    <cellStyle name="Accent1 2" xfId="1541"/>
    <cellStyle name="Accent1 2 2" xfId="1542"/>
    <cellStyle name="Accent1 2 2 2" xfId="1543"/>
    <cellStyle name="Accent1 2 3" xfId="1544"/>
    <cellStyle name="Accent1 2 3 2" xfId="1545"/>
    <cellStyle name="Accent1 2 4" xfId="1546"/>
    <cellStyle name="Accent1 2 4 2" xfId="1547"/>
    <cellStyle name="Accent1 2 5" xfId="1548"/>
    <cellStyle name="Accent1 2 5 2" xfId="1549"/>
    <cellStyle name="Accent1 2 6" xfId="1550"/>
    <cellStyle name="Accent1 20" xfId="1551"/>
    <cellStyle name="Accent1 21" xfId="1552"/>
    <cellStyle name="Accent1 22" xfId="1553"/>
    <cellStyle name="Accent1 3" xfId="1554"/>
    <cellStyle name="Accent1 3 2" xfId="1555"/>
    <cellStyle name="Accent1 3 2 2" xfId="1556"/>
    <cellStyle name="Accent1 3 3" xfId="1557"/>
    <cellStyle name="Accent1 3 3 2" xfId="1558"/>
    <cellStyle name="Accent1 3 4" xfId="1559"/>
    <cellStyle name="Accent1 3 4 2" xfId="1560"/>
    <cellStyle name="Accent1 3 5" xfId="1561"/>
    <cellStyle name="Accent1 3 5 2" xfId="1562"/>
    <cellStyle name="Accent1 3 6" xfId="1563"/>
    <cellStyle name="Accent1 4" xfId="1564"/>
    <cellStyle name="Accent1 4 2" xfId="1565"/>
    <cellStyle name="Accent1 4 2 2" xfId="1566"/>
    <cellStyle name="Accent1 4 3" xfId="1567"/>
    <cellStyle name="Accent1 4 3 2" xfId="1568"/>
    <cellStyle name="Accent1 4 4" xfId="1569"/>
    <cellStyle name="Accent1 4 4 2" xfId="1570"/>
    <cellStyle name="Accent1 4 5" xfId="1571"/>
    <cellStyle name="Accent1 4 5 2" xfId="1572"/>
    <cellStyle name="Accent1 4 6" xfId="1573"/>
    <cellStyle name="Accent1 5" xfId="1574"/>
    <cellStyle name="Accent1 5 2" xfId="1575"/>
    <cellStyle name="Accent1 5 2 2" xfId="1576"/>
    <cellStyle name="Accent1 5 3" xfId="1577"/>
    <cellStyle name="Accent1 5 3 2" xfId="1578"/>
    <cellStyle name="Accent1 5 4" xfId="1579"/>
    <cellStyle name="Accent1 5 4 2" xfId="1580"/>
    <cellStyle name="Accent1 5 5" xfId="1581"/>
    <cellStyle name="Accent1 5 5 2" xfId="1582"/>
    <cellStyle name="Accent1 5 6" xfId="1583"/>
    <cellStyle name="Accent1 6" xfId="1584"/>
    <cellStyle name="Accent1 6 2" xfId="1585"/>
    <cellStyle name="Accent1 6 2 2" xfId="1586"/>
    <cellStyle name="Accent1 6 3" xfId="1587"/>
    <cellStyle name="Accent1 6 3 2" xfId="1588"/>
    <cellStyle name="Accent1 6 4" xfId="1589"/>
    <cellStyle name="Accent1 6 4 2" xfId="1590"/>
    <cellStyle name="Accent1 6 5" xfId="1591"/>
    <cellStyle name="Accent1 6 5 2" xfId="1592"/>
    <cellStyle name="Accent1 6 6" xfId="1593"/>
    <cellStyle name="Accent1 7" xfId="1594"/>
    <cellStyle name="Accent1 7 2" xfId="1595"/>
    <cellStyle name="Accent1 7 2 2" xfId="1596"/>
    <cellStyle name="Accent1 7 3" xfId="1597"/>
    <cellStyle name="Accent1 7 3 2" xfId="1598"/>
    <cellStyle name="Accent1 7 4" xfId="1599"/>
    <cellStyle name="Accent1 7 4 2" xfId="1600"/>
    <cellStyle name="Accent1 7 5" xfId="1601"/>
    <cellStyle name="Accent1 7 5 2" xfId="1602"/>
    <cellStyle name="Accent1 7 6" xfId="1603"/>
    <cellStyle name="Accent1 8" xfId="1604"/>
    <cellStyle name="Accent1 8 2" xfId="1605"/>
    <cellStyle name="Accent1 8 2 2" xfId="1606"/>
    <cellStyle name="Accent1 8 3" xfId="1607"/>
    <cellStyle name="Accent1 8 3 2" xfId="1608"/>
    <cellStyle name="Accent1 8 4" xfId="1609"/>
    <cellStyle name="Accent1 8 4 2" xfId="1610"/>
    <cellStyle name="Accent1 8 5" xfId="1611"/>
    <cellStyle name="Accent1 8 5 2" xfId="1612"/>
    <cellStyle name="Accent1 8 6" xfId="1613"/>
    <cellStyle name="Accent1 9" xfId="1614"/>
    <cellStyle name="Accent1 9 2" xfId="1615"/>
    <cellStyle name="Accent2 10" xfId="1616"/>
    <cellStyle name="Accent2 11" xfId="1617"/>
    <cellStyle name="Accent2 12" xfId="1618"/>
    <cellStyle name="Accent2 13" xfId="1619"/>
    <cellStyle name="Accent2 14" xfId="1620"/>
    <cellStyle name="Accent2 15" xfId="1621"/>
    <cellStyle name="Accent2 16" xfId="1622"/>
    <cellStyle name="Accent2 17" xfId="1623"/>
    <cellStyle name="Accent2 18" xfId="1624"/>
    <cellStyle name="Accent2 19" xfId="1625"/>
    <cellStyle name="Accent2 2" xfId="1626"/>
    <cellStyle name="Accent2 2 2" xfId="1627"/>
    <cellStyle name="Accent2 2 2 2" xfId="1628"/>
    <cellStyle name="Accent2 2 3" xfId="1629"/>
    <cellStyle name="Accent2 2 3 2" xfId="1630"/>
    <cellStyle name="Accent2 2 4" xfId="1631"/>
    <cellStyle name="Accent2 2 4 2" xfId="1632"/>
    <cellStyle name="Accent2 2 5" xfId="1633"/>
    <cellStyle name="Accent2 2 5 2" xfId="1634"/>
    <cellStyle name="Accent2 2 6" xfId="1635"/>
    <cellStyle name="Accent2 20" xfId="1636"/>
    <cellStyle name="Accent2 21" xfId="1637"/>
    <cellStyle name="Accent2 22" xfId="1638"/>
    <cellStyle name="Accent2 3" xfId="1639"/>
    <cellStyle name="Accent2 3 2" xfId="1640"/>
    <cellStyle name="Accent2 3 2 2" xfId="1641"/>
    <cellStyle name="Accent2 3 3" xfId="1642"/>
    <cellStyle name="Accent2 3 3 2" xfId="1643"/>
    <cellStyle name="Accent2 3 4" xfId="1644"/>
    <cellStyle name="Accent2 3 4 2" xfId="1645"/>
    <cellStyle name="Accent2 3 5" xfId="1646"/>
    <cellStyle name="Accent2 3 5 2" xfId="1647"/>
    <cellStyle name="Accent2 3 6" xfId="1648"/>
    <cellStyle name="Accent2 4" xfId="1649"/>
    <cellStyle name="Accent2 4 2" xfId="1650"/>
    <cellStyle name="Accent2 4 2 2" xfId="1651"/>
    <cellStyle name="Accent2 4 3" xfId="1652"/>
    <cellStyle name="Accent2 4 3 2" xfId="1653"/>
    <cellStyle name="Accent2 4 4" xfId="1654"/>
    <cellStyle name="Accent2 4 4 2" xfId="1655"/>
    <cellStyle name="Accent2 4 5" xfId="1656"/>
    <cellStyle name="Accent2 4 5 2" xfId="1657"/>
    <cellStyle name="Accent2 4 6" xfId="1658"/>
    <cellStyle name="Accent2 5" xfId="1659"/>
    <cellStyle name="Accent2 5 2" xfId="1660"/>
    <cellStyle name="Accent2 5 2 2" xfId="1661"/>
    <cellStyle name="Accent2 5 3" xfId="1662"/>
    <cellStyle name="Accent2 5 3 2" xfId="1663"/>
    <cellStyle name="Accent2 5 4" xfId="1664"/>
    <cellStyle name="Accent2 5 4 2" xfId="1665"/>
    <cellStyle name="Accent2 5 5" xfId="1666"/>
    <cellStyle name="Accent2 5 5 2" xfId="1667"/>
    <cellStyle name="Accent2 5 6" xfId="1668"/>
    <cellStyle name="Accent2 6" xfId="1669"/>
    <cellStyle name="Accent2 6 2" xfId="1670"/>
    <cellStyle name="Accent2 6 2 2" xfId="1671"/>
    <cellStyle name="Accent2 6 3" xfId="1672"/>
    <cellStyle name="Accent2 6 3 2" xfId="1673"/>
    <cellStyle name="Accent2 6 4" xfId="1674"/>
    <cellStyle name="Accent2 6 4 2" xfId="1675"/>
    <cellStyle name="Accent2 6 5" xfId="1676"/>
    <cellStyle name="Accent2 6 5 2" xfId="1677"/>
    <cellStyle name="Accent2 6 6" xfId="1678"/>
    <cellStyle name="Accent2 7" xfId="1679"/>
    <cellStyle name="Accent2 7 2" xfId="1680"/>
    <cellStyle name="Accent2 7 2 2" xfId="1681"/>
    <cellStyle name="Accent2 7 3" xfId="1682"/>
    <cellStyle name="Accent2 7 3 2" xfId="1683"/>
    <cellStyle name="Accent2 7 4" xfId="1684"/>
    <cellStyle name="Accent2 7 4 2" xfId="1685"/>
    <cellStyle name="Accent2 7 5" xfId="1686"/>
    <cellStyle name="Accent2 7 5 2" xfId="1687"/>
    <cellStyle name="Accent2 7 6" xfId="1688"/>
    <cellStyle name="Accent2 8" xfId="1689"/>
    <cellStyle name="Accent2 8 2" xfId="1690"/>
    <cellStyle name="Accent2 8 2 2" xfId="1691"/>
    <cellStyle name="Accent2 8 3" xfId="1692"/>
    <cellStyle name="Accent2 8 3 2" xfId="1693"/>
    <cellStyle name="Accent2 8 4" xfId="1694"/>
    <cellStyle name="Accent2 8 4 2" xfId="1695"/>
    <cellStyle name="Accent2 8 5" xfId="1696"/>
    <cellStyle name="Accent2 8 5 2" xfId="1697"/>
    <cellStyle name="Accent2 8 6" xfId="1698"/>
    <cellStyle name="Accent2 9" xfId="1699"/>
    <cellStyle name="Accent2 9 2" xfId="1700"/>
    <cellStyle name="Accent3 10" xfId="1701"/>
    <cellStyle name="Accent3 11" xfId="1702"/>
    <cellStyle name="Accent3 12" xfId="1703"/>
    <cellStyle name="Accent3 13" xfId="1704"/>
    <cellStyle name="Accent3 14" xfId="1705"/>
    <cellStyle name="Accent3 15" xfId="1706"/>
    <cellStyle name="Accent3 16" xfId="1707"/>
    <cellStyle name="Accent3 17" xfId="1708"/>
    <cellStyle name="Accent3 18" xfId="1709"/>
    <cellStyle name="Accent3 19" xfId="1710"/>
    <cellStyle name="Accent3 2" xfId="1711"/>
    <cellStyle name="Accent3 2 2" xfId="1712"/>
    <cellStyle name="Accent3 2 2 2" xfId="1713"/>
    <cellStyle name="Accent3 2 3" xfId="1714"/>
    <cellStyle name="Accent3 2 3 2" xfId="1715"/>
    <cellStyle name="Accent3 2 4" xfId="1716"/>
    <cellStyle name="Accent3 2 4 2" xfId="1717"/>
    <cellStyle name="Accent3 2 5" xfId="1718"/>
    <cellStyle name="Accent3 2 5 2" xfId="1719"/>
    <cellStyle name="Accent3 2 6" xfId="1720"/>
    <cellStyle name="Accent3 20" xfId="1721"/>
    <cellStyle name="Accent3 21" xfId="1722"/>
    <cellStyle name="Accent3 22" xfId="1723"/>
    <cellStyle name="Accent3 3" xfId="1724"/>
    <cellStyle name="Accent3 3 2" xfId="1725"/>
    <cellStyle name="Accent3 3 2 2" xfId="1726"/>
    <cellStyle name="Accent3 3 3" xfId="1727"/>
    <cellStyle name="Accent3 3 3 2" xfId="1728"/>
    <cellStyle name="Accent3 3 4" xfId="1729"/>
    <cellStyle name="Accent3 3 4 2" xfId="1730"/>
    <cellStyle name="Accent3 3 5" xfId="1731"/>
    <cellStyle name="Accent3 3 5 2" xfId="1732"/>
    <cellStyle name="Accent3 3 6" xfId="1733"/>
    <cellStyle name="Accent3 4" xfId="1734"/>
    <cellStyle name="Accent3 4 2" xfId="1735"/>
    <cellStyle name="Accent3 4 2 2" xfId="1736"/>
    <cellStyle name="Accent3 4 3" xfId="1737"/>
    <cellStyle name="Accent3 4 3 2" xfId="1738"/>
    <cellStyle name="Accent3 4 4" xfId="1739"/>
    <cellStyle name="Accent3 4 4 2" xfId="1740"/>
    <cellStyle name="Accent3 4 5" xfId="1741"/>
    <cellStyle name="Accent3 4 5 2" xfId="1742"/>
    <cellStyle name="Accent3 4 6" xfId="1743"/>
    <cellStyle name="Accent3 5" xfId="1744"/>
    <cellStyle name="Accent3 5 2" xfId="1745"/>
    <cellStyle name="Accent3 5 2 2" xfId="1746"/>
    <cellStyle name="Accent3 5 3" xfId="1747"/>
    <cellStyle name="Accent3 5 3 2" xfId="1748"/>
    <cellStyle name="Accent3 5 4" xfId="1749"/>
    <cellStyle name="Accent3 5 4 2" xfId="1750"/>
    <cellStyle name="Accent3 5 5" xfId="1751"/>
    <cellStyle name="Accent3 5 5 2" xfId="1752"/>
    <cellStyle name="Accent3 5 6" xfId="1753"/>
    <cellStyle name="Accent3 6" xfId="1754"/>
    <cellStyle name="Accent3 6 2" xfId="1755"/>
    <cellStyle name="Accent3 6 2 2" xfId="1756"/>
    <cellStyle name="Accent3 6 3" xfId="1757"/>
    <cellStyle name="Accent3 6 3 2" xfId="1758"/>
    <cellStyle name="Accent3 6 4" xfId="1759"/>
    <cellStyle name="Accent3 6 4 2" xfId="1760"/>
    <cellStyle name="Accent3 6 5" xfId="1761"/>
    <cellStyle name="Accent3 6 5 2" xfId="1762"/>
    <cellStyle name="Accent3 6 6" xfId="1763"/>
    <cellStyle name="Accent3 7" xfId="1764"/>
    <cellStyle name="Accent3 7 2" xfId="1765"/>
    <cellStyle name="Accent3 7 2 2" xfId="1766"/>
    <cellStyle name="Accent3 7 3" xfId="1767"/>
    <cellStyle name="Accent3 7 3 2" xfId="1768"/>
    <cellStyle name="Accent3 7 4" xfId="1769"/>
    <cellStyle name="Accent3 7 4 2" xfId="1770"/>
    <cellStyle name="Accent3 7 5" xfId="1771"/>
    <cellStyle name="Accent3 7 5 2" xfId="1772"/>
    <cellStyle name="Accent3 7 6" xfId="1773"/>
    <cellStyle name="Accent3 8" xfId="1774"/>
    <cellStyle name="Accent3 8 2" xfId="1775"/>
    <cellStyle name="Accent3 8 2 2" xfId="1776"/>
    <cellStyle name="Accent3 8 3" xfId="1777"/>
    <cellStyle name="Accent3 8 3 2" xfId="1778"/>
    <cellStyle name="Accent3 8 4" xfId="1779"/>
    <cellStyle name="Accent3 8 4 2" xfId="1780"/>
    <cellStyle name="Accent3 8 5" xfId="1781"/>
    <cellStyle name="Accent3 8 5 2" xfId="1782"/>
    <cellStyle name="Accent3 8 6" xfId="1783"/>
    <cellStyle name="Accent3 9" xfId="1784"/>
    <cellStyle name="Accent3 9 2" xfId="1785"/>
    <cellStyle name="Accent4 10" xfId="1786"/>
    <cellStyle name="Accent4 11" xfId="1787"/>
    <cellStyle name="Accent4 12" xfId="1788"/>
    <cellStyle name="Accent4 13" xfId="1789"/>
    <cellStyle name="Accent4 14" xfId="1790"/>
    <cellStyle name="Accent4 15" xfId="1791"/>
    <cellStyle name="Accent4 16" xfId="1792"/>
    <cellStyle name="Accent4 17" xfId="1793"/>
    <cellStyle name="Accent4 18" xfId="1794"/>
    <cellStyle name="Accent4 19" xfId="1795"/>
    <cellStyle name="Accent4 2" xfId="1796"/>
    <cellStyle name="Accent4 2 2" xfId="1797"/>
    <cellStyle name="Accent4 2 2 2" xfId="1798"/>
    <cellStyle name="Accent4 2 3" xfId="1799"/>
    <cellStyle name="Accent4 2 3 2" xfId="1800"/>
    <cellStyle name="Accent4 2 4" xfId="1801"/>
    <cellStyle name="Accent4 2 4 2" xfId="1802"/>
    <cellStyle name="Accent4 2 5" xfId="1803"/>
    <cellStyle name="Accent4 2 5 2" xfId="1804"/>
    <cellStyle name="Accent4 2 6" xfId="1805"/>
    <cellStyle name="Accent4 20" xfId="1806"/>
    <cellStyle name="Accent4 21" xfId="1807"/>
    <cellStyle name="Accent4 22" xfId="1808"/>
    <cellStyle name="Accent4 3" xfId="1809"/>
    <cellStyle name="Accent4 3 2" xfId="1810"/>
    <cellStyle name="Accent4 3 2 2" xfId="1811"/>
    <cellStyle name="Accent4 3 3" xfId="1812"/>
    <cellStyle name="Accent4 3 3 2" xfId="1813"/>
    <cellStyle name="Accent4 3 4" xfId="1814"/>
    <cellStyle name="Accent4 3 4 2" xfId="1815"/>
    <cellStyle name="Accent4 3 5" xfId="1816"/>
    <cellStyle name="Accent4 3 5 2" xfId="1817"/>
    <cellStyle name="Accent4 3 6" xfId="1818"/>
    <cellStyle name="Accent4 4" xfId="1819"/>
    <cellStyle name="Accent4 4 2" xfId="1820"/>
    <cellStyle name="Accent4 4 2 2" xfId="1821"/>
    <cellStyle name="Accent4 4 3" xfId="1822"/>
    <cellStyle name="Accent4 4 3 2" xfId="1823"/>
    <cellStyle name="Accent4 4 4" xfId="1824"/>
    <cellStyle name="Accent4 4 4 2" xfId="1825"/>
    <cellStyle name="Accent4 4 5" xfId="1826"/>
    <cellStyle name="Accent4 4 5 2" xfId="1827"/>
    <cellStyle name="Accent4 4 6" xfId="1828"/>
    <cellStyle name="Accent4 5" xfId="1829"/>
    <cellStyle name="Accent4 5 2" xfId="1830"/>
    <cellStyle name="Accent4 5 2 2" xfId="1831"/>
    <cellStyle name="Accent4 5 3" xfId="1832"/>
    <cellStyle name="Accent4 5 3 2" xfId="1833"/>
    <cellStyle name="Accent4 5 4" xfId="1834"/>
    <cellStyle name="Accent4 5 4 2" xfId="1835"/>
    <cellStyle name="Accent4 5 5" xfId="1836"/>
    <cellStyle name="Accent4 5 5 2" xfId="1837"/>
    <cellStyle name="Accent4 5 6" xfId="1838"/>
    <cellStyle name="Accent4 6" xfId="1839"/>
    <cellStyle name="Accent4 6 2" xfId="1840"/>
    <cellStyle name="Accent4 6 2 2" xfId="1841"/>
    <cellStyle name="Accent4 6 3" xfId="1842"/>
    <cellStyle name="Accent4 6 3 2" xfId="1843"/>
    <cellStyle name="Accent4 6 4" xfId="1844"/>
    <cellStyle name="Accent4 6 4 2" xfId="1845"/>
    <cellStyle name="Accent4 6 5" xfId="1846"/>
    <cellStyle name="Accent4 6 5 2" xfId="1847"/>
    <cellStyle name="Accent4 6 6" xfId="1848"/>
    <cellStyle name="Accent4 7" xfId="1849"/>
    <cellStyle name="Accent4 7 2" xfId="1850"/>
    <cellStyle name="Accent4 7 2 2" xfId="1851"/>
    <cellStyle name="Accent4 7 3" xfId="1852"/>
    <cellStyle name="Accent4 7 3 2" xfId="1853"/>
    <cellStyle name="Accent4 7 4" xfId="1854"/>
    <cellStyle name="Accent4 7 4 2" xfId="1855"/>
    <cellStyle name="Accent4 7 5" xfId="1856"/>
    <cellStyle name="Accent4 7 5 2" xfId="1857"/>
    <cellStyle name="Accent4 7 6" xfId="1858"/>
    <cellStyle name="Accent4 8" xfId="1859"/>
    <cellStyle name="Accent4 8 2" xfId="1860"/>
    <cellStyle name="Accent4 8 2 2" xfId="1861"/>
    <cellStyle name="Accent4 8 3" xfId="1862"/>
    <cellStyle name="Accent4 8 3 2" xfId="1863"/>
    <cellStyle name="Accent4 8 4" xfId="1864"/>
    <cellStyle name="Accent4 8 4 2" xfId="1865"/>
    <cellStyle name="Accent4 8 5" xfId="1866"/>
    <cellStyle name="Accent4 8 5 2" xfId="1867"/>
    <cellStyle name="Accent4 8 6" xfId="1868"/>
    <cellStyle name="Accent4 9" xfId="1869"/>
    <cellStyle name="Accent4 9 2" xfId="1870"/>
    <cellStyle name="Accent5 10" xfId="1871"/>
    <cellStyle name="Accent5 11" xfId="1872"/>
    <cellStyle name="Accent5 12" xfId="1873"/>
    <cellStyle name="Accent5 13" xfId="1874"/>
    <cellStyle name="Accent5 14" xfId="1875"/>
    <cellStyle name="Accent5 15" xfId="1876"/>
    <cellStyle name="Accent5 16" xfId="1877"/>
    <cellStyle name="Accent5 17" xfId="1878"/>
    <cellStyle name="Accent5 18" xfId="1879"/>
    <cellStyle name="Accent5 19" xfId="1880"/>
    <cellStyle name="Accent5 2" xfId="1881"/>
    <cellStyle name="Accent5 2 2" xfId="1882"/>
    <cellStyle name="Accent5 2 2 2" xfId="1883"/>
    <cellStyle name="Accent5 2 3" xfId="1884"/>
    <cellStyle name="Accent5 2 3 2" xfId="1885"/>
    <cellStyle name="Accent5 2 4" xfId="1886"/>
    <cellStyle name="Accent5 2 4 2" xfId="1887"/>
    <cellStyle name="Accent5 2 5" xfId="1888"/>
    <cellStyle name="Accent5 2 5 2" xfId="1889"/>
    <cellStyle name="Accent5 2 6" xfId="1890"/>
    <cellStyle name="Accent5 20" xfId="1891"/>
    <cellStyle name="Accent5 21" xfId="1892"/>
    <cellStyle name="Accent5 22" xfId="1893"/>
    <cellStyle name="Accent5 3" xfId="1894"/>
    <cellStyle name="Accent5 3 2" xfId="1895"/>
    <cellStyle name="Accent5 3 2 2" xfId="1896"/>
    <cellStyle name="Accent5 3 3" xfId="1897"/>
    <cellStyle name="Accent5 3 3 2" xfId="1898"/>
    <cellStyle name="Accent5 3 4" xfId="1899"/>
    <cellStyle name="Accent5 3 4 2" xfId="1900"/>
    <cellStyle name="Accent5 3 5" xfId="1901"/>
    <cellStyle name="Accent5 3 5 2" xfId="1902"/>
    <cellStyle name="Accent5 3 6" xfId="1903"/>
    <cellStyle name="Accent5 4" xfId="1904"/>
    <cellStyle name="Accent5 4 2" xfId="1905"/>
    <cellStyle name="Accent5 4 2 2" xfId="1906"/>
    <cellStyle name="Accent5 4 3" xfId="1907"/>
    <cellStyle name="Accent5 4 3 2" xfId="1908"/>
    <cellStyle name="Accent5 4 4" xfId="1909"/>
    <cellStyle name="Accent5 4 4 2" xfId="1910"/>
    <cellStyle name="Accent5 4 5" xfId="1911"/>
    <cellStyle name="Accent5 4 5 2" xfId="1912"/>
    <cellStyle name="Accent5 4 6" xfId="1913"/>
    <cellStyle name="Accent5 5" xfId="1914"/>
    <cellStyle name="Accent5 5 2" xfId="1915"/>
    <cellStyle name="Accent5 5 2 2" xfId="1916"/>
    <cellStyle name="Accent5 5 3" xfId="1917"/>
    <cellStyle name="Accent5 5 3 2" xfId="1918"/>
    <cellStyle name="Accent5 5 4" xfId="1919"/>
    <cellStyle name="Accent5 5 4 2" xfId="1920"/>
    <cellStyle name="Accent5 5 5" xfId="1921"/>
    <cellStyle name="Accent5 5 5 2" xfId="1922"/>
    <cellStyle name="Accent5 5 6" xfId="1923"/>
    <cellStyle name="Accent5 6" xfId="1924"/>
    <cellStyle name="Accent5 6 2" xfId="1925"/>
    <cellStyle name="Accent5 6 2 2" xfId="1926"/>
    <cellStyle name="Accent5 6 3" xfId="1927"/>
    <cellStyle name="Accent5 6 3 2" xfId="1928"/>
    <cellStyle name="Accent5 6 4" xfId="1929"/>
    <cellStyle name="Accent5 6 4 2" xfId="1930"/>
    <cellStyle name="Accent5 6 5" xfId="1931"/>
    <cellStyle name="Accent5 6 5 2" xfId="1932"/>
    <cellStyle name="Accent5 6 6" xfId="1933"/>
    <cellStyle name="Accent5 7" xfId="1934"/>
    <cellStyle name="Accent5 7 2" xfId="1935"/>
    <cellStyle name="Accent5 7 2 2" xfId="1936"/>
    <cellStyle name="Accent5 7 3" xfId="1937"/>
    <cellStyle name="Accent5 7 3 2" xfId="1938"/>
    <cellStyle name="Accent5 7 4" xfId="1939"/>
    <cellStyle name="Accent5 7 4 2" xfId="1940"/>
    <cellStyle name="Accent5 7 5" xfId="1941"/>
    <cellStyle name="Accent5 7 5 2" xfId="1942"/>
    <cellStyle name="Accent5 7 6" xfId="1943"/>
    <cellStyle name="Accent5 8" xfId="1944"/>
    <cellStyle name="Accent5 8 2" xfId="1945"/>
    <cellStyle name="Accent5 8 2 2" xfId="1946"/>
    <cellStyle name="Accent5 8 3" xfId="1947"/>
    <cellStyle name="Accent5 8 3 2" xfId="1948"/>
    <cellStyle name="Accent5 8 4" xfId="1949"/>
    <cellStyle name="Accent5 8 4 2" xfId="1950"/>
    <cellStyle name="Accent5 8 5" xfId="1951"/>
    <cellStyle name="Accent5 8 5 2" xfId="1952"/>
    <cellStyle name="Accent5 8 6" xfId="1953"/>
    <cellStyle name="Accent5 9" xfId="1954"/>
    <cellStyle name="Accent5 9 2" xfId="1955"/>
    <cellStyle name="Accent6 10" xfId="1956"/>
    <cellStyle name="Accent6 11" xfId="1957"/>
    <cellStyle name="Accent6 12" xfId="1958"/>
    <cellStyle name="Accent6 13" xfId="1959"/>
    <cellStyle name="Accent6 14" xfId="1960"/>
    <cellStyle name="Accent6 15" xfId="1961"/>
    <cellStyle name="Accent6 16" xfId="1962"/>
    <cellStyle name="Accent6 17" xfId="1963"/>
    <cellStyle name="Accent6 18" xfId="1964"/>
    <cellStyle name="Accent6 19" xfId="1965"/>
    <cellStyle name="Accent6 2" xfId="1966"/>
    <cellStyle name="Accent6 2 2" xfId="1967"/>
    <cellStyle name="Accent6 2 2 2" xfId="1968"/>
    <cellStyle name="Accent6 2 3" xfId="1969"/>
    <cellStyle name="Accent6 2 3 2" xfId="1970"/>
    <cellStyle name="Accent6 2 4" xfId="1971"/>
    <cellStyle name="Accent6 2 4 2" xfId="1972"/>
    <cellStyle name="Accent6 2 5" xfId="1973"/>
    <cellStyle name="Accent6 2 5 2" xfId="1974"/>
    <cellStyle name="Accent6 2 6" xfId="1975"/>
    <cellStyle name="Accent6 20" xfId="1976"/>
    <cellStyle name="Accent6 21" xfId="1977"/>
    <cellStyle name="Accent6 22" xfId="1978"/>
    <cellStyle name="Accent6 3" xfId="1979"/>
    <cellStyle name="Accent6 3 2" xfId="1980"/>
    <cellStyle name="Accent6 3 2 2" xfId="1981"/>
    <cellStyle name="Accent6 3 3" xfId="1982"/>
    <cellStyle name="Accent6 3 3 2" xfId="1983"/>
    <cellStyle name="Accent6 3 4" xfId="1984"/>
    <cellStyle name="Accent6 3 4 2" xfId="1985"/>
    <cellStyle name="Accent6 3 5" xfId="1986"/>
    <cellStyle name="Accent6 3 5 2" xfId="1987"/>
    <cellStyle name="Accent6 3 6" xfId="1988"/>
    <cellStyle name="Accent6 4" xfId="1989"/>
    <cellStyle name="Accent6 4 2" xfId="1990"/>
    <cellStyle name="Accent6 4 2 2" xfId="1991"/>
    <cellStyle name="Accent6 4 3" xfId="1992"/>
    <cellStyle name="Accent6 4 3 2" xfId="1993"/>
    <cellStyle name="Accent6 4 4" xfId="1994"/>
    <cellStyle name="Accent6 4 4 2" xfId="1995"/>
    <cellStyle name="Accent6 4 5" xfId="1996"/>
    <cellStyle name="Accent6 4 5 2" xfId="1997"/>
    <cellStyle name="Accent6 4 6" xfId="1998"/>
    <cellStyle name="Accent6 5" xfId="1999"/>
    <cellStyle name="Accent6 5 2" xfId="2000"/>
    <cellStyle name="Accent6 5 2 2" xfId="2001"/>
    <cellStyle name="Accent6 5 3" xfId="2002"/>
    <cellStyle name="Accent6 5 3 2" xfId="2003"/>
    <cellStyle name="Accent6 5 4" xfId="2004"/>
    <cellStyle name="Accent6 5 4 2" xfId="2005"/>
    <cellStyle name="Accent6 5 5" xfId="2006"/>
    <cellStyle name="Accent6 5 5 2" xfId="2007"/>
    <cellStyle name="Accent6 5 6" xfId="2008"/>
    <cellStyle name="Accent6 6" xfId="2009"/>
    <cellStyle name="Accent6 6 2" xfId="2010"/>
    <cellStyle name="Accent6 6 2 2" xfId="2011"/>
    <cellStyle name="Accent6 6 3" xfId="2012"/>
    <cellStyle name="Accent6 6 3 2" xfId="2013"/>
    <cellStyle name="Accent6 6 4" xfId="2014"/>
    <cellStyle name="Accent6 6 4 2" xfId="2015"/>
    <cellStyle name="Accent6 6 5" xfId="2016"/>
    <cellStyle name="Accent6 6 5 2" xfId="2017"/>
    <cellStyle name="Accent6 6 6" xfId="2018"/>
    <cellStyle name="Accent6 7" xfId="2019"/>
    <cellStyle name="Accent6 7 2" xfId="2020"/>
    <cellStyle name="Accent6 7 2 2" xfId="2021"/>
    <cellStyle name="Accent6 7 3" xfId="2022"/>
    <cellStyle name="Accent6 7 3 2" xfId="2023"/>
    <cellStyle name="Accent6 7 4" xfId="2024"/>
    <cellStyle name="Accent6 7 4 2" xfId="2025"/>
    <cellStyle name="Accent6 7 5" xfId="2026"/>
    <cellStyle name="Accent6 7 5 2" xfId="2027"/>
    <cellStyle name="Accent6 7 6" xfId="2028"/>
    <cellStyle name="Accent6 8" xfId="2029"/>
    <cellStyle name="Accent6 8 2" xfId="2030"/>
    <cellStyle name="Accent6 8 2 2" xfId="2031"/>
    <cellStyle name="Accent6 8 3" xfId="2032"/>
    <cellStyle name="Accent6 8 3 2" xfId="2033"/>
    <cellStyle name="Accent6 8 4" xfId="2034"/>
    <cellStyle name="Accent6 8 4 2" xfId="2035"/>
    <cellStyle name="Accent6 8 5" xfId="2036"/>
    <cellStyle name="Accent6 8 5 2" xfId="2037"/>
    <cellStyle name="Accent6 8 6" xfId="2038"/>
    <cellStyle name="Accent6 9" xfId="2039"/>
    <cellStyle name="Accent6 9 2" xfId="2040"/>
    <cellStyle name="Bad 10" xfId="2041"/>
    <cellStyle name="Bad 11" xfId="2042"/>
    <cellStyle name="Bad 12" xfId="2043"/>
    <cellStyle name="Bad 13" xfId="2044"/>
    <cellStyle name="Bad 14" xfId="2045"/>
    <cellStyle name="Bad 15" xfId="2046"/>
    <cellStyle name="Bad 16" xfId="2047"/>
    <cellStyle name="Bad 17" xfId="2048"/>
    <cellStyle name="Bad 18" xfId="2049"/>
    <cellStyle name="Bad 19" xfId="2050"/>
    <cellStyle name="Bad 2" xfId="2051"/>
    <cellStyle name="Bad 2 2" xfId="2052"/>
    <cellStyle name="Bad 2 2 2" xfId="2053"/>
    <cellStyle name="Bad 2 3" xfId="2054"/>
    <cellStyle name="Bad 2 3 2" xfId="2055"/>
    <cellStyle name="Bad 2 4" xfId="2056"/>
    <cellStyle name="Bad 2 4 2" xfId="2057"/>
    <cellStyle name="Bad 2 5" xfId="2058"/>
    <cellStyle name="Bad 2 5 2" xfId="2059"/>
    <cellStyle name="Bad 2 6" xfId="2060"/>
    <cellStyle name="Bad 20" xfId="2061"/>
    <cellStyle name="Bad 21" xfId="2062"/>
    <cellStyle name="Bad 22" xfId="2063"/>
    <cellStyle name="Bad 3" xfId="2064"/>
    <cellStyle name="Bad 3 2" xfId="2065"/>
    <cellStyle name="Bad 3 2 2" xfId="2066"/>
    <cellStyle name="Bad 3 3" xfId="2067"/>
    <cellStyle name="Bad 3 3 2" xfId="2068"/>
    <cellStyle name="Bad 3 4" xfId="2069"/>
    <cellStyle name="Bad 3 4 2" xfId="2070"/>
    <cellStyle name="Bad 3 5" xfId="2071"/>
    <cellStyle name="Bad 3 5 2" xfId="2072"/>
    <cellStyle name="Bad 3 6" xfId="2073"/>
    <cellStyle name="Bad 4" xfId="2074"/>
    <cellStyle name="Bad 4 2" xfId="2075"/>
    <cellStyle name="Bad 4 2 2" xfId="2076"/>
    <cellStyle name="Bad 4 3" xfId="2077"/>
    <cellStyle name="Bad 4 3 2" xfId="2078"/>
    <cellStyle name="Bad 4 4" xfId="2079"/>
    <cellStyle name="Bad 4 4 2" xfId="2080"/>
    <cellStyle name="Bad 4 5" xfId="2081"/>
    <cellStyle name="Bad 4 5 2" xfId="2082"/>
    <cellStyle name="Bad 4 6" xfId="2083"/>
    <cellStyle name="Bad 5" xfId="2084"/>
    <cellStyle name="Bad 5 2" xfId="2085"/>
    <cellStyle name="Bad 5 2 2" xfId="2086"/>
    <cellStyle name="Bad 5 3" xfId="2087"/>
    <cellStyle name="Bad 5 3 2" xfId="2088"/>
    <cellStyle name="Bad 5 4" xfId="2089"/>
    <cellStyle name="Bad 5 4 2" xfId="2090"/>
    <cellStyle name="Bad 5 5" xfId="2091"/>
    <cellStyle name="Bad 5 5 2" xfId="2092"/>
    <cellStyle name="Bad 5 6" xfId="2093"/>
    <cellStyle name="Bad 6" xfId="2094"/>
    <cellStyle name="Bad 6 2" xfId="2095"/>
    <cellStyle name="Bad 6 2 2" xfId="2096"/>
    <cellStyle name="Bad 6 3" xfId="2097"/>
    <cellStyle name="Bad 6 3 2" xfId="2098"/>
    <cellStyle name="Bad 6 4" xfId="2099"/>
    <cellStyle name="Bad 6 4 2" xfId="2100"/>
    <cellStyle name="Bad 6 5" xfId="2101"/>
    <cellStyle name="Bad 6 5 2" xfId="2102"/>
    <cellStyle name="Bad 6 6" xfId="2103"/>
    <cellStyle name="Bad 7" xfId="2104"/>
    <cellStyle name="Bad 7 2" xfId="2105"/>
    <cellStyle name="Bad 7 2 2" xfId="2106"/>
    <cellStyle name="Bad 7 3" xfId="2107"/>
    <cellStyle name="Bad 7 3 2" xfId="2108"/>
    <cellStyle name="Bad 7 4" xfId="2109"/>
    <cellStyle name="Bad 7 4 2" xfId="2110"/>
    <cellStyle name="Bad 7 5" xfId="2111"/>
    <cellStyle name="Bad 7 5 2" xfId="2112"/>
    <cellStyle name="Bad 7 6" xfId="2113"/>
    <cellStyle name="Bad 8" xfId="2114"/>
    <cellStyle name="Bad 8 2" xfId="2115"/>
    <cellStyle name="Bad 8 2 2" xfId="2116"/>
    <cellStyle name="Bad 8 3" xfId="2117"/>
    <cellStyle name="Bad 8 3 2" xfId="2118"/>
    <cellStyle name="Bad 8 4" xfId="2119"/>
    <cellStyle name="Bad 8 4 2" xfId="2120"/>
    <cellStyle name="Bad 8 5" xfId="2121"/>
    <cellStyle name="Bad 8 5 2" xfId="2122"/>
    <cellStyle name="Bad 8 6" xfId="2123"/>
    <cellStyle name="Bad 9" xfId="2124"/>
    <cellStyle name="Bad 9 2" xfId="2125"/>
    <cellStyle name="Calculation 10" xfId="2126"/>
    <cellStyle name="Calculation 11" xfId="2127"/>
    <cellStyle name="Calculation 12" xfId="2128"/>
    <cellStyle name="Calculation 13" xfId="2129"/>
    <cellStyle name="Calculation 14" xfId="2130"/>
    <cellStyle name="Calculation 15" xfId="2131"/>
    <cellStyle name="Calculation 16" xfId="2132"/>
    <cellStyle name="Calculation 17" xfId="2133"/>
    <cellStyle name="Calculation 18" xfId="2134"/>
    <cellStyle name="Calculation 19" xfId="2135"/>
    <cellStyle name="Calculation 2" xfId="2136"/>
    <cellStyle name="Calculation 20" xfId="2137"/>
    <cellStyle name="Calculation 21" xfId="2138"/>
    <cellStyle name="Calculation 22" xfId="2139"/>
    <cellStyle name="Calculation 3" xfId="2140"/>
    <cellStyle name="Calculation 4" xfId="2141"/>
    <cellStyle name="Calculation 5" xfId="2142"/>
    <cellStyle name="Calculation 6" xfId="2143"/>
    <cellStyle name="Calculation 7" xfId="2144"/>
    <cellStyle name="Calculation 8" xfId="2145"/>
    <cellStyle name="Calculation 9" xfId="2146"/>
    <cellStyle name="Check Cell 10" xfId="2147"/>
    <cellStyle name="Check Cell 11" xfId="2148"/>
    <cellStyle name="Check Cell 12" xfId="2149"/>
    <cellStyle name="Check Cell 13" xfId="2150"/>
    <cellStyle name="Check Cell 14" xfId="2151"/>
    <cellStyle name="Check Cell 15" xfId="2152"/>
    <cellStyle name="Check Cell 16" xfId="2153"/>
    <cellStyle name="Check Cell 17" xfId="2154"/>
    <cellStyle name="Check Cell 18" xfId="2155"/>
    <cellStyle name="Check Cell 19" xfId="2156"/>
    <cellStyle name="Check Cell 2" xfId="2157"/>
    <cellStyle name="Check Cell 2 2" xfId="2158"/>
    <cellStyle name="Check Cell 2 2 2" xfId="2159"/>
    <cellStyle name="Check Cell 2 3" xfId="2160"/>
    <cellStyle name="Check Cell 2 3 2" xfId="2161"/>
    <cellStyle name="Check Cell 2 4" xfId="2162"/>
    <cellStyle name="Check Cell 2 4 2" xfId="2163"/>
    <cellStyle name="Check Cell 2 5" xfId="2164"/>
    <cellStyle name="Check Cell 2 5 2" xfId="2165"/>
    <cellStyle name="Check Cell 2 6" xfId="2166"/>
    <cellStyle name="Check Cell 20" xfId="2167"/>
    <cellStyle name="Check Cell 21" xfId="2168"/>
    <cellStyle name="Check Cell 22" xfId="2169"/>
    <cellStyle name="Check Cell 3" xfId="2170"/>
    <cellStyle name="Check Cell 3 2" xfId="2171"/>
    <cellStyle name="Check Cell 3 2 2" xfId="2172"/>
    <cellStyle name="Check Cell 3 3" xfId="2173"/>
    <cellStyle name="Check Cell 3 3 2" xfId="2174"/>
    <cellStyle name="Check Cell 3 4" xfId="2175"/>
    <cellStyle name="Check Cell 3 4 2" xfId="2176"/>
    <cellStyle name="Check Cell 3 5" xfId="2177"/>
    <cellStyle name="Check Cell 3 5 2" xfId="2178"/>
    <cellStyle name="Check Cell 3 6" xfId="2179"/>
    <cellStyle name="Check Cell 4" xfId="2180"/>
    <cellStyle name="Check Cell 4 2" xfId="2181"/>
    <cellStyle name="Check Cell 4 2 2" xfId="2182"/>
    <cellStyle name="Check Cell 4 3" xfId="2183"/>
    <cellStyle name="Check Cell 4 3 2" xfId="2184"/>
    <cellStyle name="Check Cell 4 4" xfId="2185"/>
    <cellStyle name="Check Cell 4 4 2" xfId="2186"/>
    <cellStyle name="Check Cell 4 5" xfId="2187"/>
    <cellStyle name="Check Cell 4 5 2" xfId="2188"/>
    <cellStyle name="Check Cell 4 6" xfId="2189"/>
    <cellStyle name="Check Cell 5" xfId="2190"/>
    <cellStyle name="Check Cell 5 2" xfId="2191"/>
    <cellStyle name="Check Cell 5 2 2" xfId="2192"/>
    <cellStyle name="Check Cell 5 3" xfId="2193"/>
    <cellStyle name="Check Cell 5 3 2" xfId="2194"/>
    <cellStyle name="Check Cell 5 4" xfId="2195"/>
    <cellStyle name="Check Cell 5 4 2" xfId="2196"/>
    <cellStyle name="Check Cell 5 5" xfId="2197"/>
    <cellStyle name="Check Cell 5 5 2" xfId="2198"/>
    <cellStyle name="Check Cell 5 6" xfId="2199"/>
    <cellStyle name="Check Cell 6" xfId="2200"/>
    <cellStyle name="Check Cell 6 2" xfId="2201"/>
    <cellStyle name="Check Cell 6 2 2" xfId="2202"/>
    <cellStyle name="Check Cell 6 3" xfId="2203"/>
    <cellStyle name="Check Cell 6 3 2" xfId="2204"/>
    <cellStyle name="Check Cell 6 4" xfId="2205"/>
    <cellStyle name="Check Cell 6 4 2" xfId="2206"/>
    <cellStyle name="Check Cell 6 5" xfId="2207"/>
    <cellStyle name="Check Cell 6 5 2" xfId="2208"/>
    <cellStyle name="Check Cell 6 6" xfId="2209"/>
    <cellStyle name="Check Cell 7" xfId="2210"/>
    <cellStyle name="Check Cell 7 2" xfId="2211"/>
    <cellStyle name="Check Cell 7 2 2" xfId="2212"/>
    <cellStyle name="Check Cell 7 3" xfId="2213"/>
    <cellStyle name="Check Cell 7 3 2" xfId="2214"/>
    <cellStyle name="Check Cell 7 4" xfId="2215"/>
    <cellStyle name="Check Cell 7 4 2" xfId="2216"/>
    <cellStyle name="Check Cell 7 5" xfId="2217"/>
    <cellStyle name="Check Cell 7 5 2" xfId="2218"/>
    <cellStyle name="Check Cell 7 6" xfId="2219"/>
    <cellStyle name="Check Cell 8" xfId="2220"/>
    <cellStyle name="Check Cell 8 2" xfId="2221"/>
    <cellStyle name="Check Cell 8 2 2" xfId="2222"/>
    <cellStyle name="Check Cell 8 3" xfId="2223"/>
    <cellStyle name="Check Cell 8 3 2" xfId="2224"/>
    <cellStyle name="Check Cell 8 4" xfId="2225"/>
    <cellStyle name="Check Cell 8 4 2" xfId="2226"/>
    <cellStyle name="Check Cell 8 5" xfId="2227"/>
    <cellStyle name="Check Cell 8 5 2" xfId="2228"/>
    <cellStyle name="Check Cell 8 6" xfId="2229"/>
    <cellStyle name="Check Cell 9" xfId="2230"/>
    <cellStyle name="Check Cell 9 2" xfId="2231"/>
    <cellStyle name="Comma" xfId="2232" builtinId="3"/>
    <cellStyle name="Currency" xfId="2233" builtinId="4"/>
    <cellStyle name="Explanatory Text 10" xfId="2234"/>
    <cellStyle name="Explanatory Text 11" xfId="2235"/>
    <cellStyle name="Explanatory Text 12" xfId="2236"/>
    <cellStyle name="Explanatory Text 13" xfId="2237"/>
    <cellStyle name="Explanatory Text 14" xfId="2238"/>
    <cellStyle name="Explanatory Text 15" xfId="2239"/>
    <cellStyle name="Explanatory Text 16" xfId="2240"/>
    <cellStyle name="Explanatory Text 17" xfId="2241"/>
    <cellStyle name="Explanatory Text 18" xfId="2242"/>
    <cellStyle name="Explanatory Text 19" xfId="2243"/>
    <cellStyle name="Explanatory Text 2" xfId="2244"/>
    <cellStyle name="Explanatory Text 2 2" xfId="2245"/>
    <cellStyle name="Explanatory Text 2 2 2" xfId="2246"/>
    <cellStyle name="Explanatory Text 2 3" xfId="2247"/>
    <cellStyle name="Explanatory Text 2 3 2" xfId="2248"/>
    <cellStyle name="Explanatory Text 2 4" xfId="2249"/>
    <cellStyle name="Explanatory Text 2 4 2" xfId="2250"/>
    <cellStyle name="Explanatory Text 2 5" xfId="2251"/>
    <cellStyle name="Explanatory Text 2 5 2" xfId="2252"/>
    <cellStyle name="Explanatory Text 2 6" xfId="2253"/>
    <cellStyle name="Explanatory Text 20" xfId="2254"/>
    <cellStyle name="Explanatory Text 21" xfId="2255"/>
    <cellStyle name="Explanatory Text 22" xfId="2256"/>
    <cellStyle name="Explanatory Text 3" xfId="2257"/>
    <cellStyle name="Explanatory Text 3 2" xfId="2258"/>
    <cellStyle name="Explanatory Text 3 2 2" xfId="2259"/>
    <cellStyle name="Explanatory Text 3 3" xfId="2260"/>
    <cellStyle name="Explanatory Text 3 3 2" xfId="2261"/>
    <cellStyle name="Explanatory Text 3 4" xfId="2262"/>
    <cellStyle name="Explanatory Text 3 4 2" xfId="2263"/>
    <cellStyle name="Explanatory Text 3 5" xfId="2264"/>
    <cellStyle name="Explanatory Text 3 5 2" xfId="2265"/>
    <cellStyle name="Explanatory Text 3 6" xfId="2266"/>
    <cellStyle name="Explanatory Text 4" xfId="2267"/>
    <cellStyle name="Explanatory Text 4 2" xfId="2268"/>
    <cellStyle name="Explanatory Text 4 2 2" xfId="2269"/>
    <cellStyle name="Explanatory Text 4 3" xfId="2270"/>
    <cellStyle name="Explanatory Text 4 3 2" xfId="2271"/>
    <cellStyle name="Explanatory Text 4 4" xfId="2272"/>
    <cellStyle name="Explanatory Text 4 4 2" xfId="2273"/>
    <cellStyle name="Explanatory Text 4 5" xfId="2274"/>
    <cellStyle name="Explanatory Text 4 5 2" xfId="2275"/>
    <cellStyle name="Explanatory Text 4 6" xfId="2276"/>
    <cellStyle name="Explanatory Text 5" xfId="2277"/>
    <cellStyle name="Explanatory Text 5 2" xfId="2278"/>
    <cellStyle name="Explanatory Text 5 2 2" xfId="2279"/>
    <cellStyle name="Explanatory Text 5 3" xfId="2280"/>
    <cellStyle name="Explanatory Text 5 3 2" xfId="2281"/>
    <cellStyle name="Explanatory Text 5 4" xfId="2282"/>
    <cellStyle name="Explanatory Text 5 4 2" xfId="2283"/>
    <cellStyle name="Explanatory Text 5 5" xfId="2284"/>
    <cellStyle name="Explanatory Text 5 5 2" xfId="2285"/>
    <cellStyle name="Explanatory Text 5 6" xfId="2286"/>
    <cellStyle name="Explanatory Text 6" xfId="2287"/>
    <cellStyle name="Explanatory Text 6 2" xfId="2288"/>
    <cellStyle name="Explanatory Text 6 2 2" xfId="2289"/>
    <cellStyle name="Explanatory Text 6 3" xfId="2290"/>
    <cellStyle name="Explanatory Text 6 3 2" xfId="2291"/>
    <cellStyle name="Explanatory Text 6 4" xfId="2292"/>
    <cellStyle name="Explanatory Text 6 4 2" xfId="2293"/>
    <cellStyle name="Explanatory Text 6 5" xfId="2294"/>
    <cellStyle name="Explanatory Text 6 5 2" xfId="2295"/>
    <cellStyle name="Explanatory Text 6 6" xfId="2296"/>
    <cellStyle name="Explanatory Text 7" xfId="2297"/>
    <cellStyle name="Explanatory Text 7 2" xfId="2298"/>
    <cellStyle name="Explanatory Text 7 2 2" xfId="2299"/>
    <cellStyle name="Explanatory Text 7 3" xfId="2300"/>
    <cellStyle name="Explanatory Text 7 3 2" xfId="2301"/>
    <cellStyle name="Explanatory Text 7 4" xfId="2302"/>
    <cellStyle name="Explanatory Text 7 4 2" xfId="2303"/>
    <cellStyle name="Explanatory Text 7 5" xfId="2304"/>
    <cellStyle name="Explanatory Text 7 5 2" xfId="2305"/>
    <cellStyle name="Explanatory Text 7 6" xfId="2306"/>
    <cellStyle name="Explanatory Text 8" xfId="2307"/>
    <cellStyle name="Explanatory Text 8 2" xfId="2308"/>
    <cellStyle name="Explanatory Text 8 2 2" xfId="2309"/>
    <cellStyle name="Explanatory Text 8 3" xfId="2310"/>
    <cellStyle name="Explanatory Text 8 3 2" xfId="2311"/>
    <cellStyle name="Explanatory Text 8 4" xfId="2312"/>
    <cellStyle name="Explanatory Text 8 4 2" xfId="2313"/>
    <cellStyle name="Explanatory Text 8 5" xfId="2314"/>
    <cellStyle name="Explanatory Text 8 5 2" xfId="2315"/>
    <cellStyle name="Explanatory Text 8 6" xfId="2316"/>
    <cellStyle name="Explanatory Text 9" xfId="2317"/>
    <cellStyle name="Explanatory Text 9 2" xfId="2318"/>
    <cellStyle name="Good 10" xfId="2319"/>
    <cellStyle name="Good 11" xfId="2320"/>
    <cellStyle name="Good 12" xfId="2321"/>
    <cellStyle name="Good 13" xfId="2322"/>
    <cellStyle name="Good 14" xfId="2323"/>
    <cellStyle name="Good 15" xfId="2324"/>
    <cellStyle name="Good 16" xfId="2325"/>
    <cellStyle name="Good 17" xfId="2326"/>
    <cellStyle name="Good 18" xfId="2327"/>
    <cellStyle name="Good 19" xfId="2328"/>
    <cellStyle name="Good 2" xfId="2329"/>
    <cellStyle name="Good 2 2" xfId="2330"/>
    <cellStyle name="Good 2 2 2" xfId="2331"/>
    <cellStyle name="Good 2 3" xfId="2332"/>
    <cellStyle name="Good 2 3 2" xfId="2333"/>
    <cellStyle name="Good 2 4" xfId="2334"/>
    <cellStyle name="Good 2 4 2" xfId="2335"/>
    <cellStyle name="Good 2 5" xfId="2336"/>
    <cellStyle name="Good 2 5 2" xfId="2337"/>
    <cellStyle name="Good 2 6" xfId="2338"/>
    <cellStyle name="Good 20" xfId="2339"/>
    <cellStyle name="Good 21" xfId="2340"/>
    <cellStyle name="Good 22" xfId="2341"/>
    <cellStyle name="Good 3" xfId="2342"/>
    <cellStyle name="Good 3 2" xfId="2343"/>
    <cellStyle name="Good 3 2 2" xfId="2344"/>
    <cellStyle name="Good 3 3" xfId="2345"/>
    <cellStyle name="Good 3 3 2" xfId="2346"/>
    <cellStyle name="Good 3 4" xfId="2347"/>
    <cellStyle name="Good 3 4 2" xfId="2348"/>
    <cellStyle name="Good 3 5" xfId="2349"/>
    <cellStyle name="Good 3 5 2" xfId="2350"/>
    <cellStyle name="Good 3 6" xfId="2351"/>
    <cellStyle name="Good 4" xfId="2352"/>
    <cellStyle name="Good 4 2" xfId="2353"/>
    <cellStyle name="Good 4 2 2" xfId="2354"/>
    <cellStyle name="Good 4 3" xfId="2355"/>
    <cellStyle name="Good 4 3 2" xfId="2356"/>
    <cellStyle name="Good 4 4" xfId="2357"/>
    <cellStyle name="Good 4 4 2" xfId="2358"/>
    <cellStyle name="Good 4 5" xfId="2359"/>
    <cellStyle name="Good 4 5 2" xfId="2360"/>
    <cellStyle name="Good 4 6" xfId="2361"/>
    <cellStyle name="Good 5" xfId="2362"/>
    <cellStyle name="Good 5 2" xfId="2363"/>
    <cellStyle name="Good 5 2 2" xfId="2364"/>
    <cellStyle name="Good 5 3" xfId="2365"/>
    <cellStyle name="Good 5 3 2" xfId="2366"/>
    <cellStyle name="Good 5 4" xfId="2367"/>
    <cellStyle name="Good 5 4 2" xfId="2368"/>
    <cellStyle name="Good 5 5" xfId="2369"/>
    <cellStyle name="Good 5 5 2" xfId="2370"/>
    <cellStyle name="Good 5 6" xfId="2371"/>
    <cellStyle name="Good 6" xfId="2372"/>
    <cellStyle name="Good 6 2" xfId="2373"/>
    <cellStyle name="Good 6 2 2" xfId="2374"/>
    <cellStyle name="Good 6 3" xfId="2375"/>
    <cellStyle name="Good 6 3 2" xfId="2376"/>
    <cellStyle name="Good 6 4" xfId="2377"/>
    <cellStyle name="Good 6 4 2" xfId="2378"/>
    <cellStyle name="Good 6 5" xfId="2379"/>
    <cellStyle name="Good 6 5 2" xfId="2380"/>
    <cellStyle name="Good 6 6" xfId="2381"/>
    <cellStyle name="Good 7" xfId="2382"/>
    <cellStyle name="Good 7 2" xfId="2383"/>
    <cellStyle name="Good 7 2 2" xfId="2384"/>
    <cellStyle name="Good 7 3" xfId="2385"/>
    <cellStyle name="Good 7 3 2" xfId="2386"/>
    <cellStyle name="Good 7 4" xfId="2387"/>
    <cellStyle name="Good 7 4 2" xfId="2388"/>
    <cellStyle name="Good 7 5" xfId="2389"/>
    <cellStyle name="Good 7 5 2" xfId="2390"/>
    <cellStyle name="Good 7 6" xfId="2391"/>
    <cellStyle name="Good 8" xfId="2392"/>
    <cellStyle name="Good 8 2" xfId="2393"/>
    <cellStyle name="Good 8 2 2" xfId="2394"/>
    <cellStyle name="Good 8 3" xfId="2395"/>
    <cellStyle name="Good 8 3 2" xfId="2396"/>
    <cellStyle name="Good 8 4" xfId="2397"/>
    <cellStyle name="Good 8 4 2" xfId="2398"/>
    <cellStyle name="Good 8 5" xfId="2399"/>
    <cellStyle name="Good 8 5 2" xfId="2400"/>
    <cellStyle name="Good 8 6" xfId="2401"/>
    <cellStyle name="Good 9" xfId="2402"/>
    <cellStyle name="Good 9 2" xfId="2403"/>
    <cellStyle name="Heading 1 10" xfId="2404"/>
    <cellStyle name="Heading 1 11" xfId="2405"/>
    <cellStyle name="Heading 1 12" xfId="2406"/>
    <cellStyle name="Heading 1 13" xfId="2407"/>
    <cellStyle name="Heading 1 14" xfId="2408"/>
    <cellStyle name="Heading 1 15" xfId="2409"/>
    <cellStyle name="Heading 1 16" xfId="2410"/>
    <cellStyle name="Heading 1 17" xfId="2411"/>
    <cellStyle name="Heading 1 18" xfId="2412"/>
    <cellStyle name="Heading 1 19" xfId="2413"/>
    <cellStyle name="Heading 1 2" xfId="2414"/>
    <cellStyle name="Heading 1 20" xfId="2415"/>
    <cellStyle name="Heading 1 21" xfId="2416"/>
    <cellStyle name="Heading 1 22" xfId="2417"/>
    <cellStyle name="Heading 1 3" xfId="2418"/>
    <cellStyle name="Heading 1 4" xfId="2419"/>
    <cellStyle name="Heading 1 5" xfId="2420"/>
    <cellStyle name="Heading 1 6" xfId="2421"/>
    <cellStyle name="Heading 1 7" xfId="2422"/>
    <cellStyle name="Heading 1 8" xfId="2423"/>
    <cellStyle name="Heading 1 9" xfId="2424"/>
    <cellStyle name="Heading 2 10" xfId="2425"/>
    <cellStyle name="Heading 2 11" xfId="2426"/>
    <cellStyle name="Heading 2 12" xfId="2427"/>
    <cellStyle name="Heading 2 13" xfId="2428"/>
    <cellStyle name="Heading 2 14" xfId="2429"/>
    <cellStyle name="Heading 2 15" xfId="2430"/>
    <cellStyle name="Heading 2 16" xfId="2431"/>
    <cellStyle name="Heading 2 17" xfId="2432"/>
    <cellStyle name="Heading 2 18" xfId="2433"/>
    <cellStyle name="Heading 2 19" xfId="2434"/>
    <cellStyle name="Heading 2 2" xfId="2435"/>
    <cellStyle name="Heading 2 20" xfId="2436"/>
    <cellStyle name="Heading 2 21" xfId="2437"/>
    <cellStyle name="Heading 2 22" xfId="2438"/>
    <cellStyle name="Heading 2 3" xfId="2439"/>
    <cellStyle name="Heading 2 4" xfId="2440"/>
    <cellStyle name="Heading 2 5" xfId="2441"/>
    <cellStyle name="Heading 2 6" xfId="2442"/>
    <cellStyle name="Heading 2 7" xfId="2443"/>
    <cellStyle name="Heading 2 8" xfId="2444"/>
    <cellStyle name="Heading 2 9" xfId="2445"/>
    <cellStyle name="Heading 3 10" xfId="2446"/>
    <cellStyle name="Heading 3 11" xfId="2447"/>
    <cellStyle name="Heading 3 12" xfId="2448"/>
    <cellStyle name="Heading 3 13" xfId="2449"/>
    <cellStyle name="Heading 3 14" xfId="2450"/>
    <cellStyle name="Heading 3 15" xfId="2451"/>
    <cellStyle name="Heading 3 16" xfId="2452"/>
    <cellStyle name="Heading 3 17" xfId="2453"/>
    <cellStyle name="Heading 3 18" xfId="2454"/>
    <cellStyle name="Heading 3 19" xfId="2455"/>
    <cellStyle name="Heading 3 2" xfId="2456"/>
    <cellStyle name="Heading 3 20" xfId="2457"/>
    <cellStyle name="Heading 3 21" xfId="2458"/>
    <cellStyle name="Heading 3 22" xfId="2459"/>
    <cellStyle name="Heading 3 3" xfId="2460"/>
    <cellStyle name="Heading 3 4" xfId="2461"/>
    <cellStyle name="Heading 3 5" xfId="2462"/>
    <cellStyle name="Heading 3 6" xfId="2463"/>
    <cellStyle name="Heading 3 7" xfId="2464"/>
    <cellStyle name="Heading 3 8" xfId="2465"/>
    <cellStyle name="Heading 3 9" xfId="2466"/>
    <cellStyle name="Heading 4 10" xfId="2467"/>
    <cellStyle name="Heading 4 11" xfId="2468"/>
    <cellStyle name="Heading 4 12" xfId="2469"/>
    <cellStyle name="Heading 4 13" xfId="2470"/>
    <cellStyle name="Heading 4 14" xfId="2471"/>
    <cellStyle name="Heading 4 15" xfId="2472"/>
    <cellStyle name="Heading 4 16" xfId="2473"/>
    <cellStyle name="Heading 4 17" xfId="2474"/>
    <cellStyle name="Heading 4 18" xfId="2475"/>
    <cellStyle name="Heading 4 19" xfId="2476"/>
    <cellStyle name="Heading 4 2" xfId="2477"/>
    <cellStyle name="Heading 4 20" xfId="2478"/>
    <cellStyle name="Heading 4 21" xfId="2479"/>
    <cellStyle name="Heading 4 22" xfId="2480"/>
    <cellStyle name="Heading 4 3" xfId="2481"/>
    <cellStyle name="Heading 4 4" xfId="2482"/>
    <cellStyle name="Heading 4 5" xfId="2483"/>
    <cellStyle name="Heading 4 6" xfId="2484"/>
    <cellStyle name="Heading 4 7" xfId="2485"/>
    <cellStyle name="Heading 4 8" xfId="2486"/>
    <cellStyle name="Heading 4 9" xfId="2487"/>
    <cellStyle name="Input 10" xfId="2488"/>
    <cellStyle name="Input 11" xfId="2489"/>
    <cellStyle name="Input 12" xfId="2490"/>
    <cellStyle name="Input 13" xfId="2491"/>
    <cellStyle name="Input 14" xfId="2492"/>
    <cellStyle name="Input 15" xfId="2493"/>
    <cellStyle name="Input 16" xfId="2494"/>
    <cellStyle name="Input 17" xfId="2495"/>
    <cellStyle name="Input 18" xfId="2496"/>
    <cellStyle name="Input 19" xfId="2497"/>
    <cellStyle name="Input 2" xfId="2498"/>
    <cellStyle name="Input 2 2" xfId="2499"/>
    <cellStyle name="Input 2 2 2" xfId="2500"/>
    <cellStyle name="Input 2 3" xfId="2501"/>
    <cellStyle name="Input 2 3 2" xfId="2502"/>
    <cellStyle name="Input 2 4" xfId="2503"/>
    <cellStyle name="Input 2 4 2" xfId="2504"/>
    <cellStyle name="Input 2 5" xfId="2505"/>
    <cellStyle name="Input 2 5 2" xfId="2506"/>
    <cellStyle name="Input 2 6" xfId="2507"/>
    <cellStyle name="Input 20" xfId="2508"/>
    <cellStyle name="Input 21" xfId="2509"/>
    <cellStyle name="Input 22" xfId="2510"/>
    <cellStyle name="Input 3" xfId="2511"/>
    <cellStyle name="Input 3 2" xfId="2512"/>
    <cellStyle name="Input 3 2 2" xfId="2513"/>
    <cellStyle name="Input 3 3" xfId="2514"/>
    <cellStyle name="Input 3 3 2" xfId="2515"/>
    <cellStyle name="Input 3 4" xfId="2516"/>
    <cellStyle name="Input 3 4 2" xfId="2517"/>
    <cellStyle name="Input 3 5" xfId="2518"/>
    <cellStyle name="Input 3 5 2" xfId="2519"/>
    <cellStyle name="Input 3 6" xfId="2520"/>
    <cellStyle name="Input 4" xfId="2521"/>
    <cellStyle name="Input 4 2" xfId="2522"/>
    <cellStyle name="Input 4 2 2" xfId="2523"/>
    <cellStyle name="Input 4 3" xfId="2524"/>
    <cellStyle name="Input 4 3 2" xfId="2525"/>
    <cellStyle name="Input 4 4" xfId="2526"/>
    <cellStyle name="Input 4 4 2" xfId="2527"/>
    <cellStyle name="Input 4 5" xfId="2528"/>
    <cellStyle name="Input 4 5 2" xfId="2529"/>
    <cellStyle name="Input 4 6" xfId="2530"/>
    <cellStyle name="Input 5" xfId="2531"/>
    <cellStyle name="Input 5 2" xfId="2532"/>
    <cellStyle name="Input 5 2 2" xfId="2533"/>
    <cellStyle name="Input 5 3" xfId="2534"/>
    <cellStyle name="Input 5 3 2" xfId="2535"/>
    <cellStyle name="Input 5 4" xfId="2536"/>
    <cellStyle name="Input 5 4 2" xfId="2537"/>
    <cellStyle name="Input 5 5" xfId="2538"/>
    <cellStyle name="Input 5 5 2" xfId="2539"/>
    <cellStyle name="Input 5 6" xfId="2540"/>
    <cellStyle name="Input 6" xfId="2541"/>
    <cellStyle name="Input 6 2" xfId="2542"/>
    <cellStyle name="Input 6 2 2" xfId="2543"/>
    <cellStyle name="Input 6 3" xfId="2544"/>
    <cellStyle name="Input 6 3 2" xfId="2545"/>
    <cellStyle name="Input 6 4" xfId="2546"/>
    <cellStyle name="Input 6 4 2" xfId="2547"/>
    <cellStyle name="Input 6 5" xfId="2548"/>
    <cellStyle name="Input 6 5 2" xfId="2549"/>
    <cellStyle name="Input 6 6" xfId="2550"/>
    <cellStyle name="Input 7" xfId="2551"/>
    <cellStyle name="Input 7 2" xfId="2552"/>
    <cellStyle name="Input 7 2 2" xfId="2553"/>
    <cellStyle name="Input 7 3" xfId="2554"/>
    <cellStyle name="Input 7 3 2" xfId="2555"/>
    <cellStyle name="Input 7 4" xfId="2556"/>
    <cellStyle name="Input 7 4 2" xfId="2557"/>
    <cellStyle name="Input 7 5" xfId="2558"/>
    <cellStyle name="Input 7 5 2" xfId="2559"/>
    <cellStyle name="Input 7 6" xfId="2560"/>
    <cellStyle name="Input 8" xfId="2561"/>
    <cellStyle name="Input 8 2" xfId="2562"/>
    <cellStyle name="Input 8 2 2" xfId="2563"/>
    <cellStyle name="Input 8 3" xfId="2564"/>
    <cellStyle name="Input 8 3 2" xfId="2565"/>
    <cellStyle name="Input 8 4" xfId="2566"/>
    <cellStyle name="Input 8 4 2" xfId="2567"/>
    <cellStyle name="Input 8 5" xfId="2568"/>
    <cellStyle name="Input 8 5 2" xfId="2569"/>
    <cellStyle name="Input 8 6" xfId="2570"/>
    <cellStyle name="Input 9" xfId="2571"/>
    <cellStyle name="Input 9 2" xfId="2572"/>
    <cellStyle name="Linked Cell 10" xfId="2573"/>
    <cellStyle name="Linked Cell 11" xfId="2574"/>
    <cellStyle name="Linked Cell 12" xfId="2575"/>
    <cellStyle name="Linked Cell 13" xfId="2576"/>
    <cellStyle name="Linked Cell 14" xfId="2577"/>
    <cellStyle name="Linked Cell 15" xfId="2578"/>
    <cellStyle name="Linked Cell 16" xfId="2579"/>
    <cellStyle name="Linked Cell 17" xfId="2580"/>
    <cellStyle name="Linked Cell 18" xfId="2581"/>
    <cellStyle name="Linked Cell 19" xfId="2582"/>
    <cellStyle name="Linked Cell 2" xfId="2583"/>
    <cellStyle name="Linked Cell 2 2" xfId="2584"/>
    <cellStyle name="Linked Cell 2 2 2" xfId="2585"/>
    <cellStyle name="Linked Cell 2 3" xfId="2586"/>
    <cellStyle name="Linked Cell 2 3 2" xfId="2587"/>
    <cellStyle name="Linked Cell 2 4" xfId="2588"/>
    <cellStyle name="Linked Cell 2 4 2" xfId="2589"/>
    <cellStyle name="Linked Cell 2 5" xfId="2590"/>
    <cellStyle name="Linked Cell 2 5 2" xfId="2591"/>
    <cellStyle name="Linked Cell 2 6" xfId="2592"/>
    <cellStyle name="Linked Cell 20" xfId="2593"/>
    <cellStyle name="Linked Cell 21" xfId="2594"/>
    <cellStyle name="Linked Cell 22" xfId="2595"/>
    <cellStyle name="Linked Cell 3" xfId="2596"/>
    <cellStyle name="Linked Cell 3 2" xfId="2597"/>
    <cellStyle name="Linked Cell 3 2 2" xfId="2598"/>
    <cellStyle name="Linked Cell 3 3" xfId="2599"/>
    <cellStyle name="Linked Cell 3 3 2" xfId="2600"/>
    <cellStyle name="Linked Cell 3 4" xfId="2601"/>
    <cellStyle name="Linked Cell 3 4 2" xfId="2602"/>
    <cellStyle name="Linked Cell 3 5" xfId="2603"/>
    <cellStyle name="Linked Cell 3 5 2" xfId="2604"/>
    <cellStyle name="Linked Cell 3 6" xfId="2605"/>
    <cellStyle name="Linked Cell 4" xfId="2606"/>
    <cellStyle name="Linked Cell 4 2" xfId="2607"/>
    <cellStyle name="Linked Cell 4 2 2" xfId="2608"/>
    <cellStyle name="Linked Cell 4 3" xfId="2609"/>
    <cellStyle name="Linked Cell 4 3 2" xfId="2610"/>
    <cellStyle name="Linked Cell 4 4" xfId="2611"/>
    <cellStyle name="Linked Cell 4 4 2" xfId="2612"/>
    <cellStyle name="Linked Cell 4 5" xfId="2613"/>
    <cellStyle name="Linked Cell 4 5 2" xfId="2614"/>
    <cellStyle name="Linked Cell 4 6" xfId="2615"/>
    <cellStyle name="Linked Cell 5" xfId="2616"/>
    <cellStyle name="Linked Cell 5 2" xfId="2617"/>
    <cellStyle name="Linked Cell 5 2 2" xfId="2618"/>
    <cellStyle name="Linked Cell 5 3" xfId="2619"/>
    <cellStyle name="Linked Cell 5 3 2" xfId="2620"/>
    <cellStyle name="Linked Cell 5 4" xfId="2621"/>
    <cellStyle name="Linked Cell 5 4 2" xfId="2622"/>
    <cellStyle name="Linked Cell 5 5" xfId="2623"/>
    <cellStyle name="Linked Cell 5 5 2" xfId="2624"/>
    <cellStyle name="Linked Cell 5 6" xfId="2625"/>
    <cellStyle name="Linked Cell 6" xfId="2626"/>
    <cellStyle name="Linked Cell 6 2" xfId="2627"/>
    <cellStyle name="Linked Cell 6 2 2" xfId="2628"/>
    <cellStyle name="Linked Cell 6 3" xfId="2629"/>
    <cellStyle name="Linked Cell 6 3 2" xfId="2630"/>
    <cellStyle name="Linked Cell 6 4" xfId="2631"/>
    <cellStyle name="Linked Cell 6 4 2" xfId="2632"/>
    <cellStyle name="Linked Cell 6 5" xfId="2633"/>
    <cellStyle name="Linked Cell 6 5 2" xfId="2634"/>
    <cellStyle name="Linked Cell 6 6" xfId="2635"/>
    <cellStyle name="Linked Cell 7" xfId="2636"/>
    <cellStyle name="Linked Cell 7 2" xfId="2637"/>
    <cellStyle name="Linked Cell 7 2 2" xfId="2638"/>
    <cellStyle name="Linked Cell 7 3" xfId="2639"/>
    <cellStyle name="Linked Cell 7 3 2" xfId="2640"/>
    <cellStyle name="Linked Cell 7 4" xfId="2641"/>
    <cellStyle name="Linked Cell 7 4 2" xfId="2642"/>
    <cellStyle name="Linked Cell 7 5" xfId="2643"/>
    <cellStyle name="Linked Cell 7 5 2" xfId="2644"/>
    <cellStyle name="Linked Cell 7 6" xfId="2645"/>
    <cellStyle name="Linked Cell 8" xfId="2646"/>
    <cellStyle name="Linked Cell 8 2" xfId="2647"/>
    <cellStyle name="Linked Cell 8 2 2" xfId="2648"/>
    <cellStyle name="Linked Cell 8 3" xfId="2649"/>
    <cellStyle name="Linked Cell 8 3 2" xfId="2650"/>
    <cellStyle name="Linked Cell 8 4" xfId="2651"/>
    <cellStyle name="Linked Cell 8 4 2" xfId="2652"/>
    <cellStyle name="Linked Cell 8 5" xfId="2653"/>
    <cellStyle name="Linked Cell 8 5 2" xfId="2654"/>
    <cellStyle name="Linked Cell 8 6" xfId="2655"/>
    <cellStyle name="Linked Cell 9" xfId="2656"/>
    <cellStyle name="Linked Cell 9 2" xfId="2657"/>
    <cellStyle name="Neutral 10" xfId="2658"/>
    <cellStyle name="Neutral 11" xfId="2659"/>
    <cellStyle name="Neutral 12" xfId="2660"/>
    <cellStyle name="Neutral 13" xfId="2661"/>
    <cellStyle name="Neutral 14" xfId="2662"/>
    <cellStyle name="Neutral 15" xfId="2663"/>
    <cellStyle name="Neutral 16" xfId="2664"/>
    <cellStyle name="Neutral 17" xfId="2665"/>
    <cellStyle name="Neutral 18" xfId="2666"/>
    <cellStyle name="Neutral 19" xfId="2667"/>
    <cellStyle name="Neutral 2" xfId="2668"/>
    <cellStyle name="Neutral 20" xfId="2669"/>
    <cellStyle name="Neutral 21" xfId="2670"/>
    <cellStyle name="Neutral 22" xfId="2671"/>
    <cellStyle name="Neutral 3" xfId="2672"/>
    <cellStyle name="Neutral 4" xfId="2673"/>
    <cellStyle name="Neutral 5" xfId="2674"/>
    <cellStyle name="Neutral 6" xfId="2675"/>
    <cellStyle name="Neutral 7" xfId="2676"/>
    <cellStyle name="Neutral 8" xfId="2677"/>
    <cellStyle name="Neutral 9" xfId="2678"/>
    <cellStyle name="Normal" xfId="0" builtinId="0"/>
    <cellStyle name="Normal 10" xfId="2679"/>
    <cellStyle name="Normal 10 2" xfId="2680"/>
    <cellStyle name="Normal 11" xfId="2681"/>
    <cellStyle name="Normal 11 2" xfId="2682"/>
    <cellStyle name="Normal 12" xfId="2683"/>
    <cellStyle name="Normal 12 2" xfId="2684"/>
    <cellStyle name="Normal 13" xfId="2685"/>
    <cellStyle name="Normal 13 2" xfId="2686"/>
    <cellStyle name="Normal 14" xfId="2687"/>
    <cellStyle name="Normal 14 2" xfId="2688"/>
    <cellStyle name="Normal 15" xfId="2689"/>
    <cellStyle name="Normal 15 2" xfId="2690"/>
    <cellStyle name="Normal 16" xfId="2691"/>
    <cellStyle name="Normal 16 2" xfId="2692"/>
    <cellStyle name="Normal 17" xfId="2693"/>
    <cellStyle name="Normal 17 2" xfId="2694"/>
    <cellStyle name="Normal 18" xfId="2695"/>
    <cellStyle name="Normal 18 2" xfId="2696"/>
    <cellStyle name="Normal 19" xfId="2697"/>
    <cellStyle name="Normal 19 2" xfId="2698"/>
    <cellStyle name="Normal 2" xfId="2699"/>
    <cellStyle name="Normal 2 10" xfId="2700"/>
    <cellStyle name="Normal 2 10 2" xfId="2701"/>
    <cellStyle name="Normal 2 11" xfId="2702"/>
    <cellStyle name="Normal 2 11 2" xfId="2703"/>
    <cellStyle name="Normal 2 12" xfId="2704"/>
    <cellStyle name="Normal 2 12 2" xfId="2705"/>
    <cellStyle name="Normal 2 13" xfId="2706"/>
    <cellStyle name="Normal 2 13 2" xfId="2707"/>
    <cellStyle name="Normal 2 14" xfId="2708"/>
    <cellStyle name="Normal 2 14 2" xfId="2709"/>
    <cellStyle name="Normal 2 15" xfId="2710"/>
    <cellStyle name="Normal 2 15 2" xfId="2711"/>
    <cellStyle name="Normal 2 16" xfId="2712"/>
    <cellStyle name="Normal 2 16 2" xfId="2713"/>
    <cellStyle name="Normal 2 17" xfId="2714"/>
    <cellStyle name="Normal 2 17 2" xfId="2715"/>
    <cellStyle name="Normal 2 18" xfId="2716"/>
    <cellStyle name="Normal 2 18 2" xfId="2717"/>
    <cellStyle name="Normal 2 19" xfId="2718"/>
    <cellStyle name="Normal 2 19 2" xfId="2719"/>
    <cellStyle name="Normal 2 2" xfId="2720"/>
    <cellStyle name="Normal 2 2 10" xfId="2721"/>
    <cellStyle name="Normal 2 2 10 2" xfId="2722"/>
    <cellStyle name="Normal 2 2 11" xfId="2723"/>
    <cellStyle name="Normal 2 2 11 2" xfId="2724"/>
    <cellStyle name="Normal 2 2 12" xfId="2725"/>
    <cellStyle name="Normal 2 2 12 2" xfId="2726"/>
    <cellStyle name="Normal 2 2 13" xfId="2727"/>
    <cellStyle name="Normal 2 2 13 2" xfId="2728"/>
    <cellStyle name="Normal 2 2 14" xfId="2729"/>
    <cellStyle name="Normal 2 2 14 2" xfId="2730"/>
    <cellStyle name="Normal 2 2 2" xfId="2731"/>
    <cellStyle name="Normal 2 2 2 2" xfId="2732"/>
    <cellStyle name="Normal 2 2 3" xfId="2733"/>
    <cellStyle name="Normal 2 2 3 2" xfId="2734"/>
    <cellStyle name="Normal 2 2 4" xfId="2735"/>
    <cellStyle name="Normal 2 2 4 2" xfId="2736"/>
    <cellStyle name="Normal 2 2 5" xfId="2737"/>
    <cellStyle name="Normal 2 2 5 2" xfId="2738"/>
    <cellStyle name="Normal 2 2 6" xfId="2739"/>
    <cellStyle name="Normal 2 2 6 2" xfId="2740"/>
    <cellStyle name="Normal 2 2 7" xfId="2741"/>
    <cellStyle name="Normal 2 2 7 2" xfId="2742"/>
    <cellStyle name="Normal 2 2 8" xfId="2743"/>
    <cellStyle name="Normal 2 2 8 2" xfId="2744"/>
    <cellStyle name="Normal 2 2 9" xfId="2745"/>
    <cellStyle name="Normal 2 2 9 2" xfId="2746"/>
    <cellStyle name="Normal 2 20" xfId="2747"/>
    <cellStyle name="Normal 2 20 2" xfId="2748"/>
    <cellStyle name="Normal 2 21" xfId="2749"/>
    <cellStyle name="Normal 2 21 2" xfId="2750"/>
    <cellStyle name="Normal 2 22" xfId="2751"/>
    <cellStyle name="Normal 2 22 2" xfId="2752"/>
    <cellStyle name="Normal 2 23" xfId="2753"/>
    <cellStyle name="Normal 2 23 2" xfId="2754"/>
    <cellStyle name="Normal 2 24" xfId="2755"/>
    <cellStyle name="Normal 2 24 2" xfId="2756"/>
    <cellStyle name="Normal 2 25" xfId="2757"/>
    <cellStyle name="Normal 2 25 2" xfId="2758"/>
    <cellStyle name="Normal 2 26" xfId="2759"/>
    <cellStyle name="Normal 2 26 2" xfId="2760"/>
    <cellStyle name="Normal 2 27" xfId="2761"/>
    <cellStyle name="Normal 2 27 2" xfId="2762"/>
    <cellStyle name="Normal 2 28" xfId="2763"/>
    <cellStyle name="Normal 2 28 2" xfId="2764"/>
    <cellStyle name="Normal 2 29" xfId="2765"/>
    <cellStyle name="Normal 2 29 2" xfId="2766"/>
    <cellStyle name="Normal 2 3" xfId="2767"/>
    <cellStyle name="Normal 2 3 2" xfId="2768"/>
    <cellStyle name="Normal 2 30" xfId="2769"/>
    <cellStyle name="Normal 2 30 2" xfId="2770"/>
    <cellStyle name="Normal 2 31" xfId="2771"/>
    <cellStyle name="Normal 2 31 2" xfId="2772"/>
    <cellStyle name="Normal 2 32" xfId="2773"/>
    <cellStyle name="Normal 2 32 2" xfId="2774"/>
    <cellStyle name="Normal 2 33" xfId="2775"/>
    <cellStyle name="Normal 2 33 2" xfId="2776"/>
    <cellStyle name="Normal 2 34" xfId="2777"/>
    <cellStyle name="Normal 2 34 2" xfId="2778"/>
    <cellStyle name="Normal 2 35" xfId="2779"/>
    <cellStyle name="Normal 2 35 2" xfId="2780"/>
    <cellStyle name="Normal 2 36" xfId="2781"/>
    <cellStyle name="Normal 2 36 2" xfId="2782"/>
    <cellStyle name="Normal 2 37" xfId="2783"/>
    <cellStyle name="Normal 2 37 2" xfId="2784"/>
    <cellStyle name="Normal 2 38" xfId="2785"/>
    <cellStyle name="Normal 2 38 2" xfId="2786"/>
    <cellStyle name="Normal 2 39" xfId="2787"/>
    <cellStyle name="Normal 2 39 2" xfId="2788"/>
    <cellStyle name="Normal 2 4" xfId="2789"/>
    <cellStyle name="Normal 2 4 2" xfId="2790"/>
    <cellStyle name="Normal 2 40" xfId="2791"/>
    <cellStyle name="Normal 2 40 2" xfId="2792"/>
    <cellStyle name="Normal 2 41" xfId="2793"/>
    <cellStyle name="Normal 2 41 2" xfId="2794"/>
    <cellStyle name="Normal 2 42" xfId="2795"/>
    <cellStyle name="Normal 2 42 2" xfId="2796"/>
    <cellStyle name="Normal 2 43" xfId="2797"/>
    <cellStyle name="Normal 2 43 2" xfId="2798"/>
    <cellStyle name="Normal 2 44" xfId="2799"/>
    <cellStyle name="Normal 2 44 2" xfId="2800"/>
    <cellStyle name="Normal 2 45" xfId="2801"/>
    <cellStyle name="Normal 2 45 2" xfId="2802"/>
    <cellStyle name="Normal 2 46" xfId="2803"/>
    <cellStyle name="Normal 2 46 2" xfId="2804"/>
    <cellStyle name="Normal 2 47" xfId="2805"/>
    <cellStyle name="Normal 2 47 2" xfId="2806"/>
    <cellStyle name="Normal 2 48" xfId="2807"/>
    <cellStyle name="Normal 2 48 2" xfId="2808"/>
    <cellStyle name="Normal 2 49" xfId="2809"/>
    <cellStyle name="Normal 2 5" xfId="2810"/>
    <cellStyle name="Normal 2 5 2" xfId="2811"/>
    <cellStyle name="Normal 2 50" xfId="2812"/>
    <cellStyle name="Normal 2 6" xfId="2813"/>
    <cellStyle name="Normal 2 6 2" xfId="2814"/>
    <cellStyle name="Normal 2 7" xfId="2815"/>
    <cellStyle name="Normal 2 7 2" xfId="2816"/>
    <cellStyle name="Normal 2 8" xfId="2817"/>
    <cellStyle name="Normal 2 8 2" xfId="2818"/>
    <cellStyle name="Normal 2 9" xfId="2819"/>
    <cellStyle name="Normal 2 9 2" xfId="2820"/>
    <cellStyle name="Normal 20" xfId="2821"/>
    <cellStyle name="Normal 20 2" xfId="2822"/>
    <cellStyle name="Normal 21" xfId="2823"/>
    <cellStyle name="Normal 21 2" xfId="2824"/>
    <cellStyle name="Normal 22" xfId="2825"/>
    <cellStyle name="Normal 22 2" xfId="2826"/>
    <cellStyle name="Normal 23" xfId="2827"/>
    <cellStyle name="Normal 24" xfId="2828"/>
    <cellStyle name="Normal 24 2" xfId="2829"/>
    <cellStyle name="Normal 25 2" xfId="2830"/>
    <cellStyle name="Normal 26" xfId="2831"/>
    <cellStyle name="Normal 26 2" xfId="2832"/>
    <cellStyle name="Normal 27" xfId="2833"/>
    <cellStyle name="Normal 27 2" xfId="2834"/>
    <cellStyle name="Normal 28" xfId="2835"/>
    <cellStyle name="Normal 28 2" xfId="2836"/>
    <cellStyle name="Normal 29" xfId="2837"/>
    <cellStyle name="Normal 29 2" xfId="2838"/>
    <cellStyle name="Normal 29 2 2" xfId="2839"/>
    <cellStyle name="Normal 29 3" xfId="2840"/>
    <cellStyle name="Normal 3" xfId="2841"/>
    <cellStyle name="Normal 3 10" xfId="2842"/>
    <cellStyle name="Normal 3 10 2" xfId="2843"/>
    <cellStyle name="Normal 3 11" xfId="2844"/>
    <cellStyle name="Normal 3 11 2" xfId="2845"/>
    <cellStyle name="Normal 3 12" xfId="2846"/>
    <cellStyle name="Normal 3 12 2" xfId="2847"/>
    <cellStyle name="Normal 3 13" xfId="2848"/>
    <cellStyle name="Normal 3 13 2" xfId="2849"/>
    <cellStyle name="Normal 3 14" xfId="2850"/>
    <cellStyle name="Normal 3 14 2" xfId="2851"/>
    <cellStyle name="Normal 3 15" xfId="2852"/>
    <cellStyle name="Normal 3 15 2" xfId="2853"/>
    <cellStyle name="Normal 3 16" xfId="2854"/>
    <cellStyle name="Normal 3 16 2" xfId="2855"/>
    <cellStyle name="Normal 3 17" xfId="2856"/>
    <cellStyle name="Normal 3 17 2" xfId="2857"/>
    <cellStyle name="Normal 3 18" xfId="2858"/>
    <cellStyle name="Normal 3 18 2" xfId="2859"/>
    <cellStyle name="Normal 3 19" xfId="2860"/>
    <cellStyle name="Normal 3 19 2" xfId="2861"/>
    <cellStyle name="Normal 3 2" xfId="2862"/>
    <cellStyle name="Normal 3 2 2" xfId="2863"/>
    <cellStyle name="Normal 3 2 2 2" xfId="2864"/>
    <cellStyle name="Normal 3 2 3" xfId="2865"/>
    <cellStyle name="Normal 3 2 3 2" xfId="2866"/>
    <cellStyle name="Normal 3 20" xfId="2867"/>
    <cellStyle name="Normal 3 20 2" xfId="2868"/>
    <cellStyle name="Normal 3 21" xfId="2869"/>
    <cellStyle name="Normal 3 21 2" xfId="2870"/>
    <cellStyle name="Normal 3 22" xfId="2871"/>
    <cellStyle name="Normal 3 22 2" xfId="2872"/>
    <cellStyle name="Normal 3 23" xfId="2873"/>
    <cellStyle name="Normal 3 23 2" xfId="2874"/>
    <cellStyle name="Normal 3 24" xfId="2875"/>
    <cellStyle name="Normal 3 24 2" xfId="2876"/>
    <cellStyle name="Normal 3 25" xfId="2877"/>
    <cellStyle name="Normal 3 25 2" xfId="2878"/>
    <cellStyle name="Normal 3 26" xfId="2879"/>
    <cellStyle name="Normal 3 26 2" xfId="2880"/>
    <cellStyle name="Normal 3 27" xfId="2881"/>
    <cellStyle name="Normal 3 27 2" xfId="2882"/>
    <cellStyle name="Normal 3 28" xfId="2883"/>
    <cellStyle name="Normal 3 28 2" xfId="2884"/>
    <cellStyle name="Normal 3 29" xfId="2885"/>
    <cellStyle name="Normal 3 29 2" xfId="2886"/>
    <cellStyle name="Normal 3 3" xfId="2887"/>
    <cellStyle name="Normal 3 3 2" xfId="2888"/>
    <cellStyle name="Normal 3 30" xfId="2889"/>
    <cellStyle name="Normal 3 30 2" xfId="2890"/>
    <cellStyle name="Normal 3 31" xfId="2891"/>
    <cellStyle name="Normal 3 31 2" xfId="2892"/>
    <cellStyle name="Normal 3 32" xfId="2893"/>
    <cellStyle name="Normal 3 32 2" xfId="2894"/>
    <cellStyle name="Normal 3 33" xfId="2895"/>
    <cellStyle name="Normal 3 33 2" xfId="2896"/>
    <cellStyle name="Normal 3 34" xfId="2897"/>
    <cellStyle name="Normal 3 34 2" xfId="2898"/>
    <cellStyle name="Normal 3 35" xfId="2899"/>
    <cellStyle name="Normal 3 35 2" xfId="2900"/>
    <cellStyle name="Normal 3 36" xfId="2901"/>
    <cellStyle name="Normal 3 36 2" xfId="2902"/>
    <cellStyle name="Normal 3 37" xfId="2903"/>
    <cellStyle name="Normal 3 37 2" xfId="2904"/>
    <cellStyle name="Normal 3 38" xfId="2905"/>
    <cellStyle name="Normal 3 38 2" xfId="2906"/>
    <cellStyle name="Normal 3 39" xfId="2907"/>
    <cellStyle name="Normal 3 4" xfId="2908"/>
    <cellStyle name="Normal 3 4 2" xfId="2909"/>
    <cellStyle name="Normal 3 40" xfId="2910"/>
    <cellStyle name="Normal 3 5" xfId="2911"/>
    <cellStyle name="Normal 3 5 2" xfId="2912"/>
    <cellStyle name="Normal 3 6" xfId="2913"/>
    <cellStyle name="Normal 3 6 2" xfId="2914"/>
    <cellStyle name="Normal 3 7" xfId="2915"/>
    <cellStyle name="Normal 3 7 2" xfId="2916"/>
    <cellStyle name="Normal 3 8" xfId="2917"/>
    <cellStyle name="Normal 3 8 2" xfId="2918"/>
    <cellStyle name="Normal 3 9" xfId="2919"/>
    <cellStyle name="Normal 3 9 2" xfId="2920"/>
    <cellStyle name="Normal 30" xfId="2921"/>
    <cellStyle name="Normal 30 2" xfId="2922"/>
    <cellStyle name="Normal 31" xfId="2923"/>
    <cellStyle name="Normal 32" xfId="2924"/>
    <cellStyle name="Normal 32 2" xfId="2925"/>
    <cellStyle name="Normal 33" xfId="2926"/>
    <cellStyle name="Normal 33 2" xfId="2927"/>
    <cellStyle name="Normal 34" xfId="2928"/>
    <cellStyle name="Normal 34 2" xfId="2929"/>
    <cellStyle name="Normal 35" xfId="2930"/>
    <cellStyle name="Normal 35 2" xfId="2931"/>
    <cellStyle name="Normal 36" xfId="2932"/>
    <cellStyle name="Normal 37" xfId="2933"/>
    <cellStyle name="Normal 38" xfId="2934"/>
    <cellStyle name="Normal 39" xfId="2935"/>
    <cellStyle name="Normal 39 2" xfId="2936"/>
    <cellStyle name="Normal 4" xfId="2937"/>
    <cellStyle name="Normal 4 10" xfId="2938"/>
    <cellStyle name="Normal 4 10 2" xfId="2939"/>
    <cellStyle name="Normal 4 11" xfId="2940"/>
    <cellStyle name="Normal 4 11 2" xfId="2941"/>
    <cellStyle name="Normal 4 12" xfId="2942"/>
    <cellStyle name="Normal 4 12 2" xfId="2943"/>
    <cellStyle name="Normal 4 13" xfId="2944"/>
    <cellStyle name="Normal 4 13 2" xfId="2945"/>
    <cellStyle name="Normal 4 14" xfId="2946"/>
    <cellStyle name="Normal 4 14 2" xfId="2947"/>
    <cellStyle name="Normal 4 15" xfId="2948"/>
    <cellStyle name="Normal 4 15 2" xfId="2949"/>
    <cellStyle name="Normal 4 16" xfId="2950"/>
    <cellStyle name="Normal 4 16 2" xfId="2951"/>
    <cellStyle name="Normal 4 17" xfId="2952"/>
    <cellStyle name="Normal 4 17 2" xfId="2953"/>
    <cellStyle name="Normal 4 18" xfId="2954"/>
    <cellStyle name="Normal 4 18 2" xfId="2955"/>
    <cellStyle name="Normal 4 19" xfId="2956"/>
    <cellStyle name="Normal 4 19 2" xfId="2957"/>
    <cellStyle name="Normal 4 2" xfId="2958"/>
    <cellStyle name="Normal 4 2 2" xfId="2959"/>
    <cellStyle name="Normal 4 20" xfId="2960"/>
    <cellStyle name="Normal 4 20 2" xfId="2961"/>
    <cellStyle name="Normal 4 21" xfId="2962"/>
    <cellStyle name="Normal 4 21 2" xfId="2963"/>
    <cellStyle name="Normal 4 22" xfId="2964"/>
    <cellStyle name="Normal 4 22 2" xfId="2965"/>
    <cellStyle name="Normal 4 23" xfId="2966"/>
    <cellStyle name="Normal 4 23 2" xfId="2967"/>
    <cellStyle name="Normal 4 24" xfId="2968"/>
    <cellStyle name="Normal 4 24 2" xfId="2969"/>
    <cellStyle name="Normal 4 25" xfId="2970"/>
    <cellStyle name="Normal 4 25 2" xfId="2971"/>
    <cellStyle name="Normal 4 26" xfId="2972"/>
    <cellStyle name="Normal 4 26 2" xfId="2973"/>
    <cellStyle name="Normal 4 27" xfId="2974"/>
    <cellStyle name="Normal 4 27 2" xfId="2975"/>
    <cellStyle name="Normal 4 28" xfId="2976"/>
    <cellStyle name="Normal 4 28 2" xfId="2977"/>
    <cellStyle name="Normal 4 29" xfId="2978"/>
    <cellStyle name="Normal 4 29 2" xfId="2979"/>
    <cellStyle name="Normal 4 3" xfId="2980"/>
    <cellStyle name="Normal 4 3 2" xfId="2981"/>
    <cellStyle name="Normal 4 30" xfId="2982"/>
    <cellStyle name="Normal 4 30 2" xfId="2983"/>
    <cellStyle name="Normal 4 31" xfId="2984"/>
    <cellStyle name="Normal 4 31 2" xfId="2985"/>
    <cellStyle name="Normal 4 32" xfId="2986"/>
    <cellStyle name="Normal 4 32 2" xfId="2987"/>
    <cellStyle name="Normal 4 33" xfId="2988"/>
    <cellStyle name="Normal 4 33 2" xfId="2989"/>
    <cellStyle name="Normal 4 34" xfId="2990"/>
    <cellStyle name="Normal 4 34 2" xfId="2991"/>
    <cellStyle name="Normal 4 35" xfId="2992"/>
    <cellStyle name="Normal 4 4" xfId="2993"/>
    <cellStyle name="Normal 4 4 2" xfId="2994"/>
    <cellStyle name="Normal 4 5" xfId="2995"/>
    <cellStyle name="Normal 4 5 2" xfId="2996"/>
    <cellStyle name="Normal 4 6" xfId="2997"/>
    <cellStyle name="Normal 4 6 2" xfId="2998"/>
    <cellStyle name="Normal 4 7" xfId="2999"/>
    <cellStyle name="Normal 4 7 2" xfId="3000"/>
    <cellStyle name="Normal 4 8" xfId="3001"/>
    <cellStyle name="Normal 4 8 2" xfId="3002"/>
    <cellStyle name="Normal 4 9" xfId="3003"/>
    <cellStyle name="Normal 4 9 2" xfId="3004"/>
    <cellStyle name="Normal 40" xfId="3005"/>
    <cellStyle name="Normal 40 2" xfId="3006"/>
    <cellStyle name="Normal 41" xfId="3007"/>
    <cellStyle name="Normal 41 2" xfId="3008"/>
    <cellStyle name="Normal 42" xfId="3009"/>
    <cellStyle name="Normal 42 10" xfId="3010"/>
    <cellStyle name="Normal 42 10 2" xfId="3011"/>
    <cellStyle name="Normal 42 11" xfId="3012"/>
    <cellStyle name="Normal 42 11 2" xfId="3013"/>
    <cellStyle name="Normal 42 12" xfId="3014"/>
    <cellStyle name="Normal 42 2" xfId="3015"/>
    <cellStyle name="Normal 42 2 2" xfId="3016"/>
    <cellStyle name="Normal 42 3" xfId="3017"/>
    <cellStyle name="Normal 42 3 2" xfId="3018"/>
    <cellStyle name="Normal 42 4" xfId="3019"/>
    <cellStyle name="Normal 42 4 2" xfId="3020"/>
    <cellStyle name="Normal 42 5" xfId="3021"/>
    <cellStyle name="Normal 42 5 2" xfId="3022"/>
    <cellStyle name="Normal 42 6" xfId="3023"/>
    <cellStyle name="Normal 42 6 2" xfId="3024"/>
    <cellStyle name="Normal 42 7" xfId="3025"/>
    <cellStyle name="Normal 42 7 2" xfId="3026"/>
    <cellStyle name="Normal 42 8" xfId="3027"/>
    <cellStyle name="Normal 42 8 2" xfId="3028"/>
    <cellStyle name="Normal 42 9" xfId="3029"/>
    <cellStyle name="Normal 42 9 2" xfId="3030"/>
    <cellStyle name="Normal 43" xfId="3031"/>
    <cellStyle name="Normal 43 2" xfId="3032"/>
    <cellStyle name="Normal 44" xfId="3033"/>
    <cellStyle name="Normal 44 10" xfId="3034"/>
    <cellStyle name="Normal 44 10 2" xfId="3035"/>
    <cellStyle name="Normal 44 11" xfId="3036"/>
    <cellStyle name="Normal 44 11 2" xfId="3037"/>
    <cellStyle name="Normal 44 12" xfId="3038"/>
    <cellStyle name="Normal 44 2" xfId="3039"/>
    <cellStyle name="Normal 44 2 2" xfId="3040"/>
    <cellStyle name="Normal 44 3" xfId="3041"/>
    <cellStyle name="Normal 44 3 2" xfId="3042"/>
    <cellStyle name="Normal 44 4" xfId="3043"/>
    <cellStyle name="Normal 44 4 2" xfId="3044"/>
    <cellStyle name="Normal 44 5" xfId="3045"/>
    <cellStyle name="Normal 44 5 2" xfId="3046"/>
    <cellStyle name="Normal 44 6" xfId="3047"/>
    <cellStyle name="Normal 44 6 2" xfId="3048"/>
    <cellStyle name="Normal 44 7" xfId="3049"/>
    <cellStyle name="Normal 44 7 2" xfId="3050"/>
    <cellStyle name="Normal 44 8" xfId="3051"/>
    <cellStyle name="Normal 44 8 2" xfId="3052"/>
    <cellStyle name="Normal 44 9" xfId="3053"/>
    <cellStyle name="Normal 44 9 2" xfId="3054"/>
    <cellStyle name="Normal 45" xfId="3055"/>
    <cellStyle name="Normal 45 2" xfId="3056"/>
    <cellStyle name="Normal 46" xfId="3057"/>
    <cellStyle name="Normal 46 2" xfId="3058"/>
    <cellStyle name="Normal 47" xfId="3059"/>
    <cellStyle name="Normal 47 2" xfId="3060"/>
    <cellStyle name="Normal 48" xfId="3061"/>
    <cellStyle name="Normal 48 2" xfId="3062"/>
    <cellStyle name="Normal 49" xfId="3063"/>
    <cellStyle name="Normal 49 2" xfId="3064"/>
    <cellStyle name="Normal 5 10" xfId="3065"/>
    <cellStyle name="Normal 5 10 2" xfId="3066"/>
    <cellStyle name="Normal 5 11" xfId="3067"/>
    <cellStyle name="Normal 5 11 2" xfId="3068"/>
    <cellStyle name="Normal 5 12" xfId="3069"/>
    <cellStyle name="Normal 5 12 2" xfId="3070"/>
    <cellStyle name="Normal 5 13" xfId="3071"/>
    <cellStyle name="Normal 5 13 2" xfId="3072"/>
    <cellStyle name="Normal 5 14" xfId="3073"/>
    <cellStyle name="Normal 5 14 2" xfId="3074"/>
    <cellStyle name="Normal 5 15" xfId="3075"/>
    <cellStyle name="Normal 5 15 2" xfId="3076"/>
    <cellStyle name="Normal 5 16" xfId="3077"/>
    <cellStyle name="Normal 5 16 2" xfId="3078"/>
    <cellStyle name="Normal 5 17" xfId="3079"/>
    <cellStyle name="Normal 5 17 2" xfId="3080"/>
    <cellStyle name="Normal 5 18" xfId="3081"/>
    <cellStyle name="Normal 5 18 2" xfId="3082"/>
    <cellStyle name="Normal 5 19" xfId="3083"/>
    <cellStyle name="Normal 5 19 2" xfId="3084"/>
    <cellStyle name="Normal 5 2" xfId="3085"/>
    <cellStyle name="Normal 5 2 2" xfId="3086"/>
    <cellStyle name="Normal 5 20" xfId="3087"/>
    <cellStyle name="Normal 5 20 2" xfId="3088"/>
    <cellStyle name="Normal 5 21" xfId="3089"/>
    <cellStyle name="Normal 5 21 2" xfId="3090"/>
    <cellStyle name="Normal 5 22" xfId="3091"/>
    <cellStyle name="Normal 5 22 2" xfId="3092"/>
    <cellStyle name="Normal 5 23" xfId="3093"/>
    <cellStyle name="Normal 5 23 2" xfId="3094"/>
    <cellStyle name="Normal 5 24" xfId="3095"/>
    <cellStyle name="Normal 5 24 2" xfId="3096"/>
    <cellStyle name="Normal 5 25" xfId="3097"/>
    <cellStyle name="Normal 5 25 2" xfId="3098"/>
    <cellStyle name="Normal 5 26" xfId="3099"/>
    <cellStyle name="Normal 5 26 2" xfId="3100"/>
    <cellStyle name="Normal 5 27" xfId="3101"/>
    <cellStyle name="Normal 5 27 2" xfId="3102"/>
    <cellStyle name="Normal 5 28" xfId="3103"/>
    <cellStyle name="Normal 5 28 2" xfId="3104"/>
    <cellStyle name="Normal 5 29" xfId="3105"/>
    <cellStyle name="Normal 5 29 2" xfId="3106"/>
    <cellStyle name="Normal 5 3" xfId="3107"/>
    <cellStyle name="Normal 5 3 2" xfId="3108"/>
    <cellStyle name="Normal 5 30" xfId="3109"/>
    <cellStyle name="Normal 5 30 2" xfId="3110"/>
    <cellStyle name="Normal 5 31" xfId="3111"/>
    <cellStyle name="Normal 5 31 2" xfId="3112"/>
    <cellStyle name="Normal 5 32" xfId="3113"/>
    <cellStyle name="Normal 5 32 2" xfId="3114"/>
    <cellStyle name="Normal 5 33" xfId="3115"/>
    <cellStyle name="Normal 5 33 2" xfId="3116"/>
    <cellStyle name="Normal 5 34" xfId="3117"/>
    <cellStyle name="Normal 5 34 2" xfId="3118"/>
    <cellStyle name="Normal 5 4" xfId="3119"/>
    <cellStyle name="Normal 5 4 2" xfId="3120"/>
    <cellStyle name="Normal 5 5" xfId="3121"/>
    <cellStyle name="Normal 5 5 2" xfId="3122"/>
    <cellStyle name="Normal 5 6" xfId="3123"/>
    <cellStyle name="Normal 5 6 2" xfId="3124"/>
    <cellStyle name="Normal 5 7" xfId="3125"/>
    <cellStyle name="Normal 5 7 2" xfId="3126"/>
    <cellStyle name="Normal 5 8" xfId="3127"/>
    <cellStyle name="Normal 5 8 2" xfId="3128"/>
    <cellStyle name="Normal 5 9" xfId="3129"/>
    <cellStyle name="Normal 5 9 2" xfId="3130"/>
    <cellStyle name="Normal 50" xfId="3131"/>
    <cellStyle name="Normal 50 2" xfId="3132"/>
    <cellStyle name="Normal 51" xfId="3133"/>
    <cellStyle name="Normal 51 2" xfId="3134"/>
    <cellStyle name="Normal 52" xfId="3135"/>
    <cellStyle name="Normal 52 2" xfId="3136"/>
    <cellStyle name="Normal 53" xfId="3137"/>
    <cellStyle name="Normal 53 2" xfId="3138"/>
    <cellStyle name="Normal 57" xfId="3139"/>
    <cellStyle name="Normal 57 2" xfId="3140"/>
    <cellStyle name="Normal 58" xfId="3141"/>
    <cellStyle name="Normal 58 2" xfId="3142"/>
    <cellStyle name="Normal 59" xfId="3143"/>
    <cellStyle name="Normal 59 2" xfId="3144"/>
    <cellStyle name="Normal 6 10" xfId="3145"/>
    <cellStyle name="Normal 6 10 2" xfId="3146"/>
    <cellStyle name="Normal 6 11" xfId="3147"/>
    <cellStyle name="Normal 6 11 2" xfId="3148"/>
    <cellStyle name="Normal 6 12" xfId="3149"/>
    <cellStyle name="Normal 6 12 2" xfId="3150"/>
    <cellStyle name="Normal 6 13" xfId="3151"/>
    <cellStyle name="Normal 6 13 2" xfId="3152"/>
    <cellStyle name="Normal 6 14" xfId="3153"/>
    <cellStyle name="Normal 6 14 2" xfId="3154"/>
    <cellStyle name="Normal 6 15" xfId="3155"/>
    <cellStyle name="Normal 6 15 2" xfId="3156"/>
    <cellStyle name="Normal 6 16" xfId="3157"/>
    <cellStyle name="Normal 6 16 2" xfId="3158"/>
    <cellStyle name="Normal 6 17" xfId="3159"/>
    <cellStyle name="Normal 6 17 2" xfId="3160"/>
    <cellStyle name="Normal 6 18" xfId="3161"/>
    <cellStyle name="Normal 6 18 2" xfId="3162"/>
    <cellStyle name="Normal 6 19" xfId="3163"/>
    <cellStyle name="Normal 6 19 2" xfId="3164"/>
    <cellStyle name="Normal 6 2" xfId="3165"/>
    <cellStyle name="Normal 6 2 2" xfId="3166"/>
    <cellStyle name="Normal 6 20" xfId="3167"/>
    <cellStyle name="Normal 6 20 2" xfId="3168"/>
    <cellStyle name="Normal 6 21" xfId="3169"/>
    <cellStyle name="Normal 6 21 2" xfId="3170"/>
    <cellStyle name="Normal 6 22" xfId="3171"/>
    <cellStyle name="Normal 6 22 2" xfId="3172"/>
    <cellStyle name="Normal 6 23" xfId="3173"/>
    <cellStyle name="Normal 6 23 2" xfId="3174"/>
    <cellStyle name="Normal 6 24" xfId="3175"/>
    <cellStyle name="Normal 6 24 2" xfId="3176"/>
    <cellStyle name="Normal 6 25" xfId="3177"/>
    <cellStyle name="Normal 6 25 2" xfId="3178"/>
    <cellStyle name="Normal 6 26" xfId="3179"/>
    <cellStyle name="Normal 6 26 2" xfId="3180"/>
    <cellStyle name="Normal 6 27" xfId="3181"/>
    <cellStyle name="Normal 6 27 2" xfId="3182"/>
    <cellStyle name="Normal 6 28" xfId="3183"/>
    <cellStyle name="Normal 6 28 2" xfId="3184"/>
    <cellStyle name="Normal 6 29" xfId="3185"/>
    <cellStyle name="Normal 6 29 2" xfId="3186"/>
    <cellStyle name="Normal 6 3" xfId="3187"/>
    <cellStyle name="Normal 6 3 2" xfId="3188"/>
    <cellStyle name="Normal 6 30" xfId="3189"/>
    <cellStyle name="Normal 6 30 2" xfId="3190"/>
    <cellStyle name="Normal 6 31" xfId="3191"/>
    <cellStyle name="Normal 6 31 2" xfId="3192"/>
    <cellStyle name="Normal 6 32" xfId="3193"/>
    <cellStyle name="Normal 6 32 2" xfId="3194"/>
    <cellStyle name="Normal 6 33" xfId="3195"/>
    <cellStyle name="Normal 6 33 2" xfId="3196"/>
    <cellStyle name="Normal 6 34" xfId="3197"/>
    <cellStyle name="Normal 6 34 2" xfId="3198"/>
    <cellStyle name="Normal 6 4" xfId="3199"/>
    <cellStyle name="Normal 6 4 2" xfId="3200"/>
    <cellStyle name="Normal 6 5" xfId="3201"/>
    <cellStyle name="Normal 6 5 2" xfId="3202"/>
    <cellStyle name="Normal 6 6" xfId="3203"/>
    <cellStyle name="Normal 6 6 2" xfId="3204"/>
    <cellStyle name="Normal 6 7" xfId="3205"/>
    <cellStyle name="Normal 6 7 2" xfId="3206"/>
    <cellStyle name="Normal 6 8" xfId="3207"/>
    <cellStyle name="Normal 6 8 2" xfId="3208"/>
    <cellStyle name="Normal 6 9" xfId="3209"/>
    <cellStyle name="Normal 6 9 2" xfId="3210"/>
    <cellStyle name="Normal 60" xfId="3211"/>
    <cellStyle name="Normal 60 2" xfId="3212"/>
    <cellStyle name="Normal 7 10" xfId="3213"/>
    <cellStyle name="Normal 7 10 2" xfId="3214"/>
    <cellStyle name="Normal 7 11" xfId="3215"/>
    <cellStyle name="Normal 7 11 2" xfId="3216"/>
    <cellStyle name="Normal 7 12" xfId="3217"/>
    <cellStyle name="Normal 7 12 2" xfId="3218"/>
    <cellStyle name="Normal 7 13" xfId="3219"/>
    <cellStyle name="Normal 7 13 2" xfId="3220"/>
    <cellStyle name="Normal 7 14" xfId="3221"/>
    <cellStyle name="Normal 7 14 2" xfId="3222"/>
    <cellStyle name="Normal 7 15" xfId="3223"/>
    <cellStyle name="Normal 7 15 2" xfId="3224"/>
    <cellStyle name="Normal 7 16" xfId="3225"/>
    <cellStyle name="Normal 7 16 2" xfId="3226"/>
    <cellStyle name="Normal 7 17" xfId="3227"/>
    <cellStyle name="Normal 7 17 2" xfId="3228"/>
    <cellStyle name="Normal 7 18" xfId="3229"/>
    <cellStyle name="Normal 7 18 2" xfId="3230"/>
    <cellStyle name="Normal 7 19" xfId="3231"/>
    <cellStyle name="Normal 7 19 2" xfId="3232"/>
    <cellStyle name="Normal 7 2" xfId="3233"/>
    <cellStyle name="Normal 7 2 2" xfId="3234"/>
    <cellStyle name="Normal 7 20" xfId="3235"/>
    <cellStyle name="Normal 7 20 2" xfId="3236"/>
    <cellStyle name="Normal 7 21" xfId="3237"/>
    <cellStyle name="Normal 7 21 2" xfId="3238"/>
    <cellStyle name="Normal 7 22" xfId="3239"/>
    <cellStyle name="Normal 7 22 2" xfId="3240"/>
    <cellStyle name="Normal 7 23" xfId="3241"/>
    <cellStyle name="Normal 7 23 2" xfId="3242"/>
    <cellStyle name="Normal 7 24" xfId="3243"/>
    <cellStyle name="Normal 7 24 2" xfId="3244"/>
    <cellStyle name="Normal 7 3" xfId="3245"/>
    <cellStyle name="Normal 7 3 2" xfId="3246"/>
    <cellStyle name="Normal 7 4" xfId="3247"/>
    <cellStyle name="Normal 7 4 2" xfId="3248"/>
    <cellStyle name="Normal 7 5" xfId="3249"/>
    <cellStyle name="Normal 7 5 2" xfId="3250"/>
    <cellStyle name="Normal 7 6" xfId="3251"/>
    <cellStyle name="Normal 7 6 2" xfId="3252"/>
    <cellStyle name="Normal 7 7" xfId="3253"/>
    <cellStyle name="Normal 7 7 2" xfId="3254"/>
    <cellStyle name="Normal 7 8" xfId="3255"/>
    <cellStyle name="Normal 7 8 2" xfId="3256"/>
    <cellStyle name="Normal 7 9" xfId="3257"/>
    <cellStyle name="Normal 7 9 2" xfId="3258"/>
    <cellStyle name="Normal 8" xfId="3259"/>
    <cellStyle name="Normal 8 2" xfId="3260"/>
    <cellStyle name="Normal 8 2 2" xfId="3261"/>
    <cellStyle name="Normal 8 3" xfId="3262"/>
    <cellStyle name="Normal 8 3 2" xfId="3263"/>
    <cellStyle name="Normal 8 4" xfId="3264"/>
    <cellStyle name="Normal 9" xfId="3265"/>
    <cellStyle name="Normal 9 2" xfId="3266"/>
    <cellStyle name="Note 10" xfId="3267"/>
    <cellStyle name="Note 10 2" xfId="3268"/>
    <cellStyle name="Note 11" xfId="3269"/>
    <cellStyle name="Note 11 2" xfId="3270"/>
    <cellStyle name="Note 12" xfId="3271"/>
    <cellStyle name="Note 12 2" xfId="3272"/>
    <cellStyle name="Note 13" xfId="3273"/>
    <cellStyle name="Note 13 2" xfId="3274"/>
    <cellStyle name="Note 14" xfId="3275"/>
    <cellStyle name="Note 14 2" xfId="3276"/>
    <cellStyle name="Note 15" xfId="3277"/>
    <cellStyle name="Note 15 2" xfId="3278"/>
    <cellStyle name="Note 16" xfId="3279"/>
    <cellStyle name="Note 16 2" xfId="3280"/>
    <cellStyle name="Note 17" xfId="3281"/>
    <cellStyle name="Note 17 2" xfId="3282"/>
    <cellStyle name="Note 18" xfId="3283"/>
    <cellStyle name="Note 18 2" xfId="3284"/>
    <cellStyle name="Note 19" xfId="3285"/>
    <cellStyle name="Note 19 2" xfId="3286"/>
    <cellStyle name="Note 2" xfId="3287"/>
    <cellStyle name="Note 2 2" xfId="3288"/>
    <cellStyle name="Note 20" xfId="3289"/>
    <cellStyle name="Note 20 2" xfId="3290"/>
    <cellStyle name="Note 21" xfId="3291"/>
    <cellStyle name="Note 21 2" xfId="3292"/>
    <cellStyle name="Note 22" xfId="3293"/>
    <cellStyle name="Note 22 2" xfId="3294"/>
    <cellStyle name="Note 3" xfId="3295"/>
    <cellStyle name="Note 3 2" xfId="3296"/>
    <cellStyle name="Note 4" xfId="3297"/>
    <cellStyle name="Note 4 2" xfId="3298"/>
    <cellStyle name="Note 5" xfId="3299"/>
    <cellStyle name="Note 5 2" xfId="3300"/>
    <cellStyle name="Note 6" xfId="3301"/>
    <cellStyle name="Note 6 2" xfId="3302"/>
    <cellStyle name="Note 7" xfId="3303"/>
    <cellStyle name="Note 7 2" xfId="3304"/>
    <cellStyle name="Note 8" xfId="3305"/>
    <cellStyle name="Note 8 2" xfId="3306"/>
    <cellStyle name="Note 9" xfId="3307"/>
    <cellStyle name="Note 9 2" xfId="3308"/>
    <cellStyle name="Output 10" xfId="3309"/>
    <cellStyle name="Output 11" xfId="3310"/>
    <cellStyle name="Output 12" xfId="3311"/>
    <cellStyle name="Output 13" xfId="3312"/>
    <cellStyle name="Output 14" xfId="3313"/>
    <cellStyle name="Output 15" xfId="3314"/>
    <cellStyle name="Output 16" xfId="3315"/>
    <cellStyle name="Output 17" xfId="3316"/>
    <cellStyle name="Output 18" xfId="3317"/>
    <cellStyle name="Output 19" xfId="3318"/>
    <cellStyle name="Output 2" xfId="3319"/>
    <cellStyle name="Output 2 2" xfId="3320"/>
    <cellStyle name="Output 2 2 2" xfId="3321"/>
    <cellStyle name="Output 2 3" xfId="3322"/>
    <cellStyle name="Output 2 3 2" xfId="3323"/>
    <cellStyle name="Output 2 4" xfId="3324"/>
    <cellStyle name="Output 2 4 2" xfId="3325"/>
    <cellStyle name="Output 2 5" xfId="3326"/>
    <cellStyle name="Output 2 5 2" xfId="3327"/>
    <cellStyle name="Output 2 6" xfId="3328"/>
    <cellStyle name="Output 20" xfId="3329"/>
    <cellStyle name="Output 21" xfId="3330"/>
    <cellStyle name="Output 22" xfId="3331"/>
    <cellStyle name="Output 3" xfId="3332"/>
    <cellStyle name="Output 3 2" xfId="3333"/>
    <cellStyle name="Output 3 2 2" xfId="3334"/>
    <cellStyle name="Output 3 3" xfId="3335"/>
    <cellStyle name="Output 3 3 2" xfId="3336"/>
    <cellStyle name="Output 3 4" xfId="3337"/>
    <cellStyle name="Output 3 4 2" xfId="3338"/>
    <cellStyle name="Output 3 5" xfId="3339"/>
    <cellStyle name="Output 3 5 2" xfId="3340"/>
    <cellStyle name="Output 3 6" xfId="3341"/>
    <cellStyle name="Output 4" xfId="3342"/>
    <cellStyle name="Output 4 2" xfId="3343"/>
    <cellStyle name="Output 4 2 2" xfId="3344"/>
    <cellStyle name="Output 4 3" xfId="3345"/>
    <cellStyle name="Output 4 3 2" xfId="3346"/>
    <cellStyle name="Output 4 4" xfId="3347"/>
    <cellStyle name="Output 4 4 2" xfId="3348"/>
    <cellStyle name="Output 4 5" xfId="3349"/>
    <cellStyle name="Output 4 5 2" xfId="3350"/>
    <cellStyle name="Output 4 6" xfId="3351"/>
    <cellStyle name="Output 5" xfId="3352"/>
    <cellStyle name="Output 5 2" xfId="3353"/>
    <cellStyle name="Output 5 2 2" xfId="3354"/>
    <cellStyle name="Output 5 3" xfId="3355"/>
    <cellStyle name="Output 5 3 2" xfId="3356"/>
    <cellStyle name="Output 5 4" xfId="3357"/>
    <cellStyle name="Output 5 4 2" xfId="3358"/>
    <cellStyle name="Output 5 5" xfId="3359"/>
    <cellStyle name="Output 5 5 2" xfId="3360"/>
    <cellStyle name="Output 5 6" xfId="3361"/>
    <cellStyle name="Output 6" xfId="3362"/>
    <cellStyle name="Output 6 2" xfId="3363"/>
    <cellStyle name="Output 6 2 2" xfId="3364"/>
    <cellStyle name="Output 6 3" xfId="3365"/>
    <cellStyle name="Output 6 3 2" xfId="3366"/>
    <cellStyle name="Output 6 4" xfId="3367"/>
    <cellStyle name="Output 6 4 2" xfId="3368"/>
    <cellStyle name="Output 6 5" xfId="3369"/>
    <cellStyle name="Output 6 5 2" xfId="3370"/>
    <cellStyle name="Output 6 6" xfId="3371"/>
    <cellStyle name="Output 7" xfId="3372"/>
    <cellStyle name="Output 7 2" xfId="3373"/>
    <cellStyle name="Output 7 2 2" xfId="3374"/>
    <cellStyle name="Output 7 3" xfId="3375"/>
    <cellStyle name="Output 7 3 2" xfId="3376"/>
    <cellStyle name="Output 7 4" xfId="3377"/>
    <cellStyle name="Output 7 4 2" xfId="3378"/>
    <cellStyle name="Output 7 5" xfId="3379"/>
    <cellStyle name="Output 7 5 2" xfId="3380"/>
    <cellStyle name="Output 7 6" xfId="3381"/>
    <cellStyle name="Output 8" xfId="3382"/>
    <cellStyle name="Output 8 2" xfId="3383"/>
    <cellStyle name="Output 8 2 2" xfId="3384"/>
    <cellStyle name="Output 8 3" xfId="3385"/>
    <cellStyle name="Output 8 3 2" xfId="3386"/>
    <cellStyle name="Output 8 4" xfId="3387"/>
    <cellStyle name="Output 8 4 2" xfId="3388"/>
    <cellStyle name="Output 8 5" xfId="3389"/>
    <cellStyle name="Output 8 5 2" xfId="3390"/>
    <cellStyle name="Output 8 6" xfId="3391"/>
    <cellStyle name="Output 9" xfId="3392"/>
    <cellStyle name="Output 9 2" xfId="3393"/>
    <cellStyle name="Percent" xfId="3394" builtinId="5"/>
    <cellStyle name="Title 10" xfId="3395"/>
    <cellStyle name="Title 11" xfId="3396"/>
    <cellStyle name="Title 12" xfId="3397"/>
    <cellStyle name="Title 13" xfId="3398"/>
    <cellStyle name="Title 14" xfId="3399"/>
    <cellStyle name="Title 15" xfId="3400"/>
    <cellStyle name="Title 16" xfId="3401"/>
    <cellStyle name="Title 17" xfId="3402"/>
    <cellStyle name="Title 18" xfId="3403"/>
    <cellStyle name="Title 19" xfId="3404"/>
    <cellStyle name="Title 2" xfId="3405"/>
    <cellStyle name="Title 20" xfId="3406"/>
    <cellStyle name="Title 21" xfId="3407"/>
    <cellStyle name="Title 22" xfId="3408"/>
    <cellStyle name="Title 3" xfId="3409"/>
    <cellStyle name="Title 4" xfId="3410"/>
    <cellStyle name="Title 5" xfId="3411"/>
    <cellStyle name="Title 6" xfId="3412"/>
    <cellStyle name="Title 7" xfId="3413"/>
    <cellStyle name="Title 8" xfId="3414"/>
    <cellStyle name="Title 9" xfId="3415"/>
    <cellStyle name="Total 10" xfId="3416"/>
    <cellStyle name="Total 11" xfId="3417"/>
    <cellStyle name="Total 12" xfId="3418"/>
    <cellStyle name="Total 13" xfId="3419"/>
    <cellStyle name="Total 14" xfId="3420"/>
    <cellStyle name="Total 15" xfId="3421"/>
    <cellStyle name="Total 16" xfId="3422"/>
    <cellStyle name="Total 17" xfId="3423"/>
    <cellStyle name="Total 18" xfId="3424"/>
    <cellStyle name="Total 19" xfId="3425"/>
    <cellStyle name="Total 2" xfId="3426"/>
    <cellStyle name="Total 2 2" xfId="3427"/>
    <cellStyle name="Total 2 2 2" xfId="3428"/>
    <cellStyle name="Total 2 3" xfId="3429"/>
    <cellStyle name="Total 2 3 2" xfId="3430"/>
    <cellStyle name="Total 2 4" xfId="3431"/>
    <cellStyle name="Total 2 4 2" xfId="3432"/>
    <cellStyle name="Total 2 5" xfId="3433"/>
    <cellStyle name="Total 2 5 2" xfId="3434"/>
    <cellStyle name="Total 2 6" xfId="3435"/>
    <cellStyle name="Total 20" xfId="3436"/>
    <cellStyle name="Total 21" xfId="3437"/>
    <cellStyle name="Total 22" xfId="3438"/>
    <cellStyle name="Total 3" xfId="3439"/>
    <cellStyle name="Total 3 2" xfId="3440"/>
    <cellStyle name="Total 3 2 2" xfId="3441"/>
    <cellStyle name="Total 3 3" xfId="3442"/>
    <cellStyle name="Total 3 3 2" xfId="3443"/>
    <cellStyle name="Total 3 4" xfId="3444"/>
    <cellStyle name="Total 3 4 2" xfId="3445"/>
    <cellStyle name="Total 3 5" xfId="3446"/>
    <cellStyle name="Total 3 5 2" xfId="3447"/>
    <cellStyle name="Total 3 6" xfId="3448"/>
    <cellStyle name="Total 4" xfId="3449"/>
    <cellStyle name="Total 4 2" xfId="3450"/>
    <cellStyle name="Total 4 2 2" xfId="3451"/>
    <cellStyle name="Total 4 3" xfId="3452"/>
    <cellStyle name="Total 4 3 2" xfId="3453"/>
    <cellStyle name="Total 4 4" xfId="3454"/>
    <cellStyle name="Total 4 4 2" xfId="3455"/>
    <cellStyle name="Total 4 5" xfId="3456"/>
    <cellStyle name="Total 4 5 2" xfId="3457"/>
    <cellStyle name="Total 4 6" xfId="3458"/>
    <cellStyle name="Total 5" xfId="3459"/>
    <cellStyle name="Total 5 2" xfId="3460"/>
    <cellStyle name="Total 5 2 2" xfId="3461"/>
    <cellStyle name="Total 5 3" xfId="3462"/>
    <cellStyle name="Total 5 3 2" xfId="3463"/>
    <cellStyle name="Total 5 4" xfId="3464"/>
    <cellStyle name="Total 5 4 2" xfId="3465"/>
    <cellStyle name="Total 5 5" xfId="3466"/>
    <cellStyle name="Total 5 5 2" xfId="3467"/>
    <cellStyle name="Total 5 6" xfId="3468"/>
    <cellStyle name="Total 6" xfId="3469"/>
    <cellStyle name="Total 6 2" xfId="3470"/>
    <cellStyle name="Total 6 2 2" xfId="3471"/>
    <cellStyle name="Total 6 3" xfId="3472"/>
    <cellStyle name="Total 6 3 2" xfId="3473"/>
    <cellStyle name="Total 6 4" xfId="3474"/>
    <cellStyle name="Total 6 4 2" xfId="3475"/>
    <cellStyle name="Total 6 5" xfId="3476"/>
    <cellStyle name="Total 6 5 2" xfId="3477"/>
    <cellStyle name="Total 6 6" xfId="3478"/>
    <cellStyle name="Total 7" xfId="3479"/>
    <cellStyle name="Total 7 2" xfId="3480"/>
    <cellStyle name="Total 7 2 2" xfId="3481"/>
    <cellStyle name="Total 7 3" xfId="3482"/>
    <cellStyle name="Total 7 3 2" xfId="3483"/>
    <cellStyle name="Total 7 4" xfId="3484"/>
    <cellStyle name="Total 7 4 2" xfId="3485"/>
    <cellStyle name="Total 7 5" xfId="3486"/>
    <cellStyle name="Total 7 5 2" xfId="3487"/>
    <cellStyle name="Total 7 6" xfId="3488"/>
    <cellStyle name="Total 8" xfId="3489"/>
    <cellStyle name="Total 8 2" xfId="3490"/>
    <cellStyle name="Total 8 2 2" xfId="3491"/>
    <cellStyle name="Total 8 3" xfId="3492"/>
    <cellStyle name="Total 8 3 2" xfId="3493"/>
    <cellStyle name="Total 8 4" xfId="3494"/>
    <cellStyle name="Total 8 4 2" xfId="3495"/>
    <cellStyle name="Total 8 5" xfId="3496"/>
    <cellStyle name="Total 8 5 2" xfId="3497"/>
    <cellStyle name="Total 8 6" xfId="3498"/>
    <cellStyle name="Total 9" xfId="3499"/>
    <cellStyle name="Total 9 2" xfId="3500"/>
    <cellStyle name="Warning Text 10" xfId="3501"/>
    <cellStyle name="Warning Text 11" xfId="3502"/>
    <cellStyle name="Warning Text 12" xfId="3503"/>
    <cellStyle name="Warning Text 13" xfId="3504"/>
    <cellStyle name="Warning Text 14" xfId="3505"/>
    <cellStyle name="Warning Text 15" xfId="3506"/>
    <cellStyle name="Warning Text 16" xfId="3507"/>
    <cellStyle name="Warning Text 17" xfId="3508"/>
    <cellStyle name="Warning Text 18" xfId="3509"/>
    <cellStyle name="Warning Text 19" xfId="3510"/>
    <cellStyle name="Warning Text 2" xfId="3511"/>
    <cellStyle name="Warning Text 2 2" xfId="3512"/>
    <cellStyle name="Warning Text 2 2 2" xfId="3513"/>
    <cellStyle name="Warning Text 2 3" xfId="3514"/>
    <cellStyle name="Warning Text 2 3 2" xfId="3515"/>
    <cellStyle name="Warning Text 2 4" xfId="3516"/>
    <cellStyle name="Warning Text 2 4 2" xfId="3517"/>
    <cellStyle name="Warning Text 2 5" xfId="3518"/>
    <cellStyle name="Warning Text 2 5 2" xfId="3519"/>
    <cellStyle name="Warning Text 2 6" xfId="3520"/>
    <cellStyle name="Warning Text 20" xfId="3521"/>
    <cellStyle name="Warning Text 21" xfId="3522"/>
    <cellStyle name="Warning Text 22" xfId="3523"/>
    <cellStyle name="Warning Text 3" xfId="3524"/>
    <cellStyle name="Warning Text 3 2" xfId="3525"/>
    <cellStyle name="Warning Text 3 2 2" xfId="3526"/>
    <cellStyle name="Warning Text 3 3" xfId="3527"/>
    <cellStyle name="Warning Text 3 3 2" xfId="3528"/>
    <cellStyle name="Warning Text 3 4" xfId="3529"/>
    <cellStyle name="Warning Text 3 4 2" xfId="3530"/>
    <cellStyle name="Warning Text 3 5" xfId="3531"/>
    <cellStyle name="Warning Text 3 5 2" xfId="3532"/>
    <cellStyle name="Warning Text 3 6" xfId="3533"/>
    <cellStyle name="Warning Text 4" xfId="3534"/>
    <cellStyle name="Warning Text 4 2" xfId="3535"/>
    <cellStyle name="Warning Text 4 2 2" xfId="3536"/>
    <cellStyle name="Warning Text 4 3" xfId="3537"/>
    <cellStyle name="Warning Text 4 3 2" xfId="3538"/>
    <cellStyle name="Warning Text 4 4" xfId="3539"/>
    <cellStyle name="Warning Text 4 4 2" xfId="3540"/>
    <cellStyle name="Warning Text 4 5" xfId="3541"/>
    <cellStyle name="Warning Text 4 5 2" xfId="3542"/>
    <cellStyle name="Warning Text 4 6" xfId="3543"/>
    <cellStyle name="Warning Text 5" xfId="3544"/>
    <cellStyle name="Warning Text 5 2" xfId="3545"/>
    <cellStyle name="Warning Text 5 2 2" xfId="3546"/>
    <cellStyle name="Warning Text 5 3" xfId="3547"/>
    <cellStyle name="Warning Text 5 3 2" xfId="3548"/>
    <cellStyle name="Warning Text 5 4" xfId="3549"/>
    <cellStyle name="Warning Text 5 4 2" xfId="3550"/>
    <cellStyle name="Warning Text 5 5" xfId="3551"/>
    <cellStyle name="Warning Text 5 5 2" xfId="3552"/>
    <cellStyle name="Warning Text 5 6" xfId="3553"/>
    <cellStyle name="Warning Text 6" xfId="3554"/>
    <cellStyle name="Warning Text 6 2" xfId="3555"/>
    <cellStyle name="Warning Text 6 2 2" xfId="3556"/>
    <cellStyle name="Warning Text 6 3" xfId="3557"/>
    <cellStyle name="Warning Text 6 3 2" xfId="3558"/>
    <cellStyle name="Warning Text 6 4" xfId="3559"/>
    <cellStyle name="Warning Text 6 4 2" xfId="3560"/>
    <cellStyle name="Warning Text 6 5" xfId="3561"/>
    <cellStyle name="Warning Text 6 5 2" xfId="3562"/>
    <cellStyle name="Warning Text 6 6" xfId="3563"/>
    <cellStyle name="Warning Text 7" xfId="3564"/>
    <cellStyle name="Warning Text 7 2" xfId="3565"/>
    <cellStyle name="Warning Text 7 2 2" xfId="3566"/>
    <cellStyle name="Warning Text 7 3" xfId="3567"/>
    <cellStyle name="Warning Text 7 3 2" xfId="3568"/>
    <cellStyle name="Warning Text 7 4" xfId="3569"/>
    <cellStyle name="Warning Text 7 4 2" xfId="3570"/>
    <cellStyle name="Warning Text 7 5" xfId="3571"/>
    <cellStyle name="Warning Text 7 5 2" xfId="3572"/>
    <cellStyle name="Warning Text 7 6" xfId="3573"/>
    <cellStyle name="Warning Text 8" xfId="3574"/>
    <cellStyle name="Warning Text 8 2" xfId="3575"/>
    <cellStyle name="Warning Text 8 2 2" xfId="3576"/>
    <cellStyle name="Warning Text 8 3" xfId="3577"/>
    <cellStyle name="Warning Text 8 3 2" xfId="3578"/>
    <cellStyle name="Warning Text 8 4" xfId="3579"/>
    <cellStyle name="Warning Text 8 4 2" xfId="3580"/>
    <cellStyle name="Warning Text 8 5" xfId="3581"/>
    <cellStyle name="Warning Text 8 5 2" xfId="3582"/>
    <cellStyle name="Warning Text 8 6" xfId="3583"/>
    <cellStyle name="Warning Text 9" xfId="3584"/>
    <cellStyle name="Warning Text 9 2" xfId="35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3:Q123"/>
  <sheetViews>
    <sheetView tabSelected="1" view="pageBreakPreview" zoomScale="110" zoomScaleNormal="130" zoomScaleSheetLayoutView="110" zoomScalePageLayoutView="130" workbookViewId="0"/>
  </sheetViews>
  <sheetFormatPr baseColWidth="10" defaultColWidth="8.83203125" defaultRowHeight="13" x14ac:dyDescent="0.15"/>
  <cols>
    <col min="1" max="1" width="8.6640625" customWidth="1"/>
    <col min="2" max="2" width="3.1640625" customWidth="1"/>
    <col min="3" max="3" width="7" customWidth="1"/>
    <col min="4" max="4" width="14.5" customWidth="1"/>
    <col min="5" max="5" width="15" customWidth="1"/>
    <col min="6" max="6" width="3.6640625" customWidth="1"/>
    <col min="7" max="7" width="10.5" customWidth="1"/>
    <col min="8" max="8" width="13.33203125" style="105" bestFit="1" customWidth="1"/>
    <col min="9" max="9" width="3.33203125" style="145" customWidth="1"/>
    <col min="10" max="10" width="13" style="277" bestFit="1" customWidth="1"/>
    <col min="11" max="11" width="8.83203125" style="16"/>
  </cols>
  <sheetData>
    <row r="3" spans="1:17" s="194" customFormat="1" x14ac:dyDescent="0.15">
      <c r="A3" s="395" t="s">
        <v>1</v>
      </c>
      <c r="B3" s="396"/>
      <c r="C3" s="396"/>
      <c r="D3" s="396"/>
      <c r="E3" s="396"/>
      <c r="F3" s="396"/>
      <c r="G3" s="396"/>
      <c r="H3" s="396"/>
      <c r="I3" s="396"/>
      <c r="J3" s="396"/>
      <c r="K3" s="255"/>
    </row>
    <row r="4" spans="1:17" s="194" customFormat="1" x14ac:dyDescent="0.15">
      <c r="A4" s="397" t="s">
        <v>218</v>
      </c>
      <c r="B4" s="396"/>
      <c r="C4" s="396"/>
      <c r="D4" s="396"/>
      <c r="E4" s="396"/>
      <c r="F4" s="396"/>
      <c r="G4" s="396"/>
      <c r="H4" s="396"/>
      <c r="I4" s="396"/>
      <c r="J4" s="396"/>
      <c r="K4" s="255"/>
    </row>
    <row r="5" spans="1:17" s="194" customFormat="1" x14ac:dyDescent="0.15">
      <c r="A5" s="398" t="s">
        <v>174</v>
      </c>
      <c r="B5" s="396"/>
      <c r="C5" s="396"/>
      <c r="D5" s="396"/>
      <c r="E5" s="396"/>
      <c r="F5" s="396"/>
      <c r="G5" s="396"/>
      <c r="H5" s="396"/>
      <c r="I5" s="396"/>
      <c r="J5" s="396"/>
      <c r="K5" s="285"/>
      <c r="L5" s="286"/>
      <c r="M5" s="286"/>
      <c r="N5" s="286"/>
      <c r="O5" s="286"/>
      <c r="P5" s="286"/>
      <c r="Q5" s="286"/>
    </row>
    <row r="6" spans="1:17" s="194" customFormat="1" x14ac:dyDescent="0.15">
      <c r="A6" s="399" t="s">
        <v>343</v>
      </c>
      <c r="B6" s="396"/>
      <c r="C6" s="396"/>
      <c r="D6" s="396"/>
      <c r="E6" s="396"/>
      <c r="F6" s="396"/>
      <c r="G6" s="396"/>
      <c r="H6" s="396"/>
      <c r="I6" s="396"/>
      <c r="J6" s="396"/>
      <c r="K6" s="285"/>
      <c r="L6" s="286"/>
      <c r="M6" s="286"/>
      <c r="N6" s="286"/>
      <c r="O6" s="286"/>
      <c r="P6" s="286"/>
      <c r="Q6" s="286"/>
    </row>
    <row r="7" spans="1:17" x14ac:dyDescent="0.15">
      <c r="A7" s="400" t="s">
        <v>289</v>
      </c>
      <c r="B7" s="401"/>
      <c r="C7" s="401"/>
      <c r="D7" s="401"/>
      <c r="E7" s="401"/>
      <c r="F7" s="401"/>
      <c r="G7" s="401"/>
      <c r="H7" s="401"/>
      <c r="I7" s="401"/>
      <c r="J7" s="401"/>
    </row>
    <row r="8" spans="1:17" x14ac:dyDescent="0.15">
      <c r="A8" s="104"/>
      <c r="B8" s="104"/>
      <c r="C8" s="104"/>
      <c r="D8" s="104"/>
      <c r="E8" s="104"/>
      <c r="F8" s="104"/>
      <c r="G8" s="104"/>
      <c r="H8" s="209"/>
    </row>
    <row r="9" spans="1:17" x14ac:dyDescent="0.15">
      <c r="A9" s="103"/>
      <c r="B9" s="103"/>
      <c r="C9" s="103"/>
      <c r="D9" s="103"/>
      <c r="E9" s="103"/>
      <c r="F9" s="103"/>
      <c r="G9" s="103"/>
      <c r="H9" s="210"/>
    </row>
    <row r="10" spans="1:17" x14ac:dyDescent="0.15">
      <c r="A10" s="1"/>
      <c r="B10" s="1"/>
      <c r="C10" s="1"/>
      <c r="D10" s="1"/>
      <c r="E10" s="1"/>
      <c r="F10" s="1"/>
      <c r="G10" s="3"/>
      <c r="H10" s="107"/>
    </row>
    <row r="11" spans="1:17" x14ac:dyDescent="0.15">
      <c r="A11" s="1"/>
      <c r="B11" s="1"/>
      <c r="C11" s="1"/>
      <c r="D11" s="1"/>
      <c r="E11" s="1"/>
      <c r="F11" s="1"/>
      <c r="G11" s="1"/>
      <c r="H11" s="211"/>
    </row>
    <row r="12" spans="1:17" x14ac:dyDescent="0.15">
      <c r="D12" s="167"/>
      <c r="E12" s="168" t="s">
        <v>141</v>
      </c>
      <c r="H12" s="107"/>
      <c r="L12" s="123"/>
    </row>
    <row r="13" spans="1:17" x14ac:dyDescent="0.15">
      <c r="C13" s="2"/>
      <c r="D13" s="13"/>
      <c r="E13" s="13" t="s">
        <v>142</v>
      </c>
      <c r="F13" s="13"/>
      <c r="G13" s="13"/>
      <c r="H13" s="361">
        <v>2016</v>
      </c>
      <c r="J13" s="361">
        <v>2015</v>
      </c>
    </row>
    <row r="14" spans="1:17" x14ac:dyDescent="0.15">
      <c r="A14" s="3"/>
      <c r="B14" s="23" t="s">
        <v>2</v>
      </c>
      <c r="D14" s="13"/>
      <c r="E14" s="13"/>
      <c r="F14" s="13"/>
      <c r="G14" s="13"/>
      <c r="H14" s="212"/>
    </row>
    <row r="15" spans="1:17" x14ac:dyDescent="0.15">
      <c r="A15" s="3"/>
      <c r="B15" s="3"/>
      <c r="C15" s="13" t="s">
        <v>136</v>
      </c>
      <c r="D15" s="13"/>
      <c r="E15" s="13"/>
      <c r="F15" s="13"/>
      <c r="G15" s="13"/>
      <c r="H15" s="214">
        <v>671821.91</v>
      </c>
      <c r="J15" s="329">
        <v>576077</v>
      </c>
    </row>
    <row r="16" spans="1:17" x14ac:dyDescent="0.15">
      <c r="A16" s="3"/>
      <c r="B16" s="3"/>
      <c r="C16" s="13" t="s">
        <v>137</v>
      </c>
      <c r="D16" s="13"/>
      <c r="E16" s="13"/>
      <c r="F16" s="13"/>
      <c r="G16" s="13"/>
      <c r="H16" s="244">
        <v>251579.64</v>
      </c>
      <c r="J16" s="330">
        <v>251579.5</v>
      </c>
    </row>
    <row r="17" spans="1:12" x14ac:dyDescent="0.15">
      <c r="A17" s="3"/>
      <c r="B17" s="3"/>
      <c r="C17" s="13"/>
      <c r="D17" s="13" t="s">
        <v>3</v>
      </c>
      <c r="E17" s="13"/>
      <c r="F17" s="13"/>
      <c r="G17" s="13"/>
      <c r="H17" s="245">
        <f>SUM(H15:H16)</f>
        <v>923401.55</v>
      </c>
      <c r="J17" s="326">
        <f>SUM(J15:J16)</f>
        <v>827656.5</v>
      </c>
    </row>
    <row r="18" spans="1:12" x14ac:dyDescent="0.15">
      <c r="A18" s="3"/>
      <c r="B18" s="3"/>
      <c r="C18" s="13"/>
      <c r="D18" s="13"/>
      <c r="E18" s="13"/>
      <c r="F18" s="13"/>
      <c r="G18" s="13"/>
      <c r="H18" s="212"/>
    </row>
    <row r="19" spans="1:12" x14ac:dyDescent="0.15">
      <c r="A19" s="3"/>
      <c r="B19" s="23" t="s">
        <v>4</v>
      </c>
      <c r="D19" s="13"/>
      <c r="E19" s="13"/>
      <c r="F19" s="13"/>
      <c r="G19" s="13"/>
      <c r="H19" s="212"/>
    </row>
    <row r="20" spans="1:12" x14ac:dyDescent="0.15">
      <c r="A20" s="3"/>
      <c r="B20" s="3"/>
      <c r="C20" s="13" t="s">
        <v>138</v>
      </c>
      <c r="D20" s="13"/>
      <c r="E20" s="13"/>
      <c r="F20" s="13"/>
      <c r="G20" s="13"/>
      <c r="H20" s="212">
        <v>1535.58</v>
      </c>
      <c r="J20" s="297">
        <v>1835.5</v>
      </c>
    </row>
    <row r="21" spans="1:12" x14ac:dyDescent="0.15">
      <c r="A21" s="3"/>
      <c r="B21" s="3"/>
      <c r="C21" s="16" t="s">
        <v>222</v>
      </c>
      <c r="D21" s="13"/>
      <c r="E21" s="13"/>
      <c r="F21" s="13"/>
      <c r="G21" s="13"/>
      <c r="H21" s="212">
        <v>2593.54</v>
      </c>
      <c r="J21" s="297">
        <v>1181.5</v>
      </c>
    </row>
    <row r="22" spans="1:12" ht="12.75" hidden="1" customHeight="1" x14ac:dyDescent="0.15">
      <c r="A22" s="3"/>
      <c r="B22" s="3"/>
      <c r="C22" s="16" t="s">
        <v>193</v>
      </c>
      <c r="D22" s="13"/>
      <c r="E22" s="13"/>
      <c r="F22" s="13"/>
      <c r="G22" s="13"/>
      <c r="H22" s="244">
        <v>0</v>
      </c>
      <c r="J22" s="244">
        <v>0</v>
      </c>
    </row>
    <row r="23" spans="1:12" x14ac:dyDescent="0.15">
      <c r="A23" s="3"/>
      <c r="B23" s="3"/>
      <c r="C23" s="13"/>
      <c r="D23" s="13" t="s">
        <v>5</v>
      </c>
      <c r="E23" s="13"/>
      <c r="F23" s="13"/>
      <c r="G23" s="13"/>
      <c r="H23" s="245">
        <f>SUM(H20:H22)</f>
        <v>4129.12</v>
      </c>
      <c r="I23" s="117"/>
      <c r="J23" s="331">
        <f>SUM(J20:J22)</f>
        <v>3017</v>
      </c>
    </row>
    <row r="24" spans="1:12" x14ac:dyDescent="0.15">
      <c r="C24" s="13"/>
      <c r="D24" s="13"/>
      <c r="E24" s="13"/>
      <c r="F24" s="13"/>
      <c r="G24" s="13"/>
      <c r="H24" s="212"/>
    </row>
    <row r="25" spans="1:12" ht="14" thickBot="1" x14ac:dyDescent="0.2">
      <c r="C25" s="13"/>
      <c r="D25" s="4" t="s">
        <v>6</v>
      </c>
      <c r="E25" s="13"/>
      <c r="F25" s="13"/>
      <c r="G25" s="13"/>
      <c r="H25" s="325">
        <f>+H23+H17</f>
        <v>927530.67</v>
      </c>
      <c r="J25" s="332">
        <f>SUM(J17,J23)</f>
        <v>830673.5</v>
      </c>
    </row>
    <row r="26" spans="1:12" ht="2" customHeight="1" thickTop="1" x14ac:dyDescent="0.15">
      <c r="C26" s="13"/>
      <c r="D26" s="13"/>
      <c r="E26" s="13"/>
      <c r="F26" s="13"/>
      <c r="G26" s="13"/>
      <c r="H26" s="212">
        <f>F26-G26</f>
        <v>0</v>
      </c>
    </row>
    <row r="27" spans="1:12" x14ac:dyDescent="0.15">
      <c r="C27" s="13"/>
      <c r="D27" s="13"/>
      <c r="E27" s="13"/>
      <c r="F27" s="13"/>
      <c r="G27" s="13"/>
      <c r="H27" s="212"/>
    </row>
    <row r="28" spans="1:12" x14ac:dyDescent="0.15">
      <c r="C28" s="13"/>
      <c r="D28" s="13"/>
      <c r="E28" s="13"/>
      <c r="F28" s="13"/>
      <c r="G28" s="13"/>
      <c r="H28" s="212"/>
    </row>
    <row r="29" spans="1:12" x14ac:dyDescent="0.15">
      <c r="C29" s="13"/>
      <c r="D29" s="13"/>
      <c r="E29" s="13"/>
      <c r="F29" s="13"/>
      <c r="G29" s="13"/>
      <c r="H29" s="212"/>
    </row>
    <row r="30" spans="1:12" x14ac:dyDescent="0.15">
      <c r="C30" s="13"/>
      <c r="D30" s="13"/>
      <c r="E30" s="13"/>
      <c r="F30" s="13"/>
      <c r="G30" s="13"/>
      <c r="H30" s="212"/>
    </row>
    <row r="31" spans="1:12" x14ac:dyDescent="0.15">
      <c r="A31" s="377"/>
      <c r="B31" s="377"/>
      <c r="C31" s="377"/>
      <c r="D31" s="16"/>
      <c r="E31" s="16"/>
      <c r="F31" s="378" t="s">
        <v>260</v>
      </c>
      <c r="G31" s="377"/>
      <c r="H31" s="380"/>
      <c r="L31" s="123"/>
    </row>
    <row r="32" spans="1:12" x14ac:dyDescent="0.15">
      <c r="C32" s="2"/>
      <c r="D32" s="13"/>
      <c r="E32" s="13"/>
      <c r="F32" s="13"/>
      <c r="G32" s="13"/>
      <c r="H32" s="212"/>
    </row>
    <row r="33" spans="1:10" x14ac:dyDescent="0.15">
      <c r="A33" s="3"/>
      <c r="B33" s="23" t="s">
        <v>7</v>
      </c>
      <c r="D33" s="13"/>
      <c r="E33" s="13"/>
      <c r="F33" s="13"/>
      <c r="G33" s="13"/>
      <c r="H33" s="212"/>
    </row>
    <row r="34" spans="1:10" ht="12.75" customHeight="1" x14ac:dyDescent="0.15">
      <c r="A34" s="3"/>
      <c r="B34" s="3"/>
      <c r="C34" s="16" t="s">
        <v>194</v>
      </c>
      <c r="D34" s="13"/>
      <c r="E34" s="13"/>
      <c r="F34" s="13"/>
      <c r="G34" s="16"/>
      <c r="H34" s="324">
        <v>75867.37</v>
      </c>
      <c r="J34" s="329">
        <v>40366</v>
      </c>
    </row>
    <row r="35" spans="1:10" x14ac:dyDescent="0.15">
      <c r="A35" s="3"/>
      <c r="B35" s="3"/>
      <c r="C35" s="13" t="s">
        <v>139</v>
      </c>
      <c r="D35" s="13"/>
      <c r="E35" s="13"/>
      <c r="F35" s="13"/>
      <c r="H35" s="380">
        <f>'domestic projects (with 0 proj)'!G91+0</f>
        <v>225375</v>
      </c>
      <c r="I35" s="145">
        <f>4977.55+4977.55</f>
        <v>9955.1</v>
      </c>
      <c r="J35" s="380">
        <v>327246.40000000002</v>
      </c>
    </row>
    <row r="36" spans="1:10" ht="13.5" customHeight="1" x14ac:dyDescent="0.15">
      <c r="A36" s="3"/>
      <c r="B36" s="3"/>
      <c r="C36" s="13" t="s">
        <v>140</v>
      </c>
      <c r="D36" s="13"/>
      <c r="E36" s="13"/>
      <c r="F36" s="13"/>
      <c r="G36" s="367"/>
      <c r="H36" s="244">
        <f>'int''l projects (with 0 proj)'!K27+0.3</f>
        <v>30050.32</v>
      </c>
      <c r="I36" s="145">
        <f>SUM(I29:I35)</f>
        <v>9955.1</v>
      </c>
      <c r="J36" s="333">
        <v>22978</v>
      </c>
    </row>
    <row r="37" spans="1:10" ht="13.5" hidden="1" customHeight="1" x14ac:dyDescent="0.15">
      <c r="A37" s="3"/>
      <c r="B37" s="3"/>
      <c r="C37" s="16" t="s">
        <v>166</v>
      </c>
      <c r="D37" s="13"/>
      <c r="E37" s="13"/>
      <c r="F37" s="13"/>
      <c r="G37" s="13"/>
      <c r="H37" s="244">
        <v>0</v>
      </c>
      <c r="J37" s="277">
        <v>0</v>
      </c>
    </row>
    <row r="38" spans="1:10" x14ac:dyDescent="0.15">
      <c r="A38" s="3"/>
      <c r="B38" s="3"/>
      <c r="C38" s="13"/>
      <c r="D38" s="13" t="s">
        <v>8</v>
      </c>
      <c r="E38" s="13"/>
      <c r="F38" s="13"/>
      <c r="G38" s="13"/>
      <c r="H38" s="245">
        <f>SUM(H34:H37)</f>
        <v>331292.69</v>
      </c>
      <c r="J38" s="326">
        <f>SUM(J34:J37)</f>
        <v>390590.4</v>
      </c>
    </row>
    <row r="39" spans="1:10" x14ac:dyDescent="0.15">
      <c r="A39" s="3"/>
      <c r="B39" s="3"/>
      <c r="C39" s="13"/>
      <c r="D39" s="13"/>
      <c r="E39" s="13"/>
      <c r="F39" s="13"/>
      <c r="G39" s="13"/>
      <c r="H39" s="212"/>
    </row>
    <row r="40" spans="1:10" x14ac:dyDescent="0.15">
      <c r="A40" s="3"/>
      <c r="B40" s="23" t="s">
        <v>9</v>
      </c>
      <c r="D40" s="13"/>
      <c r="E40" s="13"/>
      <c r="F40" s="13"/>
      <c r="G40" s="13"/>
      <c r="H40" s="212"/>
    </row>
    <row r="41" spans="1:10" x14ac:dyDescent="0.15">
      <c r="A41" s="3"/>
      <c r="B41" s="3"/>
      <c r="C41" s="16" t="s">
        <v>205</v>
      </c>
      <c r="D41" s="13"/>
      <c r="E41" s="13"/>
      <c r="F41" s="13"/>
      <c r="G41" s="251"/>
      <c r="H41" s="212">
        <f>'change in net assets'!F26</f>
        <v>596238.35000000009</v>
      </c>
      <c r="I41" s="253">
        <v>353898</v>
      </c>
      <c r="J41" s="333">
        <f>'change in net assets'!G26+0</f>
        <v>440083.1</v>
      </c>
    </row>
    <row r="42" spans="1:10" ht="14.5" customHeight="1" x14ac:dyDescent="0.15">
      <c r="A42" s="3"/>
      <c r="B42" s="3"/>
      <c r="C42" s="13"/>
      <c r="D42" s="13" t="s">
        <v>10</v>
      </c>
      <c r="E42" s="13"/>
      <c r="F42" s="13"/>
      <c r="G42" s="251"/>
      <c r="H42" s="326">
        <f>SUM(H41)</f>
        <v>596238.35000000009</v>
      </c>
      <c r="I42" s="254"/>
      <c r="J42" s="326">
        <f>SUM(J41)</f>
        <v>440083.1</v>
      </c>
    </row>
    <row r="43" spans="1:10" x14ac:dyDescent="0.15">
      <c r="C43" s="13"/>
      <c r="D43" s="13"/>
      <c r="E43" s="13"/>
      <c r="F43" s="13"/>
      <c r="G43" s="251"/>
      <c r="H43" s="199"/>
      <c r="I43" s="255"/>
    </row>
    <row r="44" spans="1:10" ht="14" thickBot="1" x14ac:dyDescent="0.2">
      <c r="C44" s="13"/>
      <c r="D44" s="4" t="s">
        <v>11</v>
      </c>
      <c r="E44" s="13"/>
      <c r="F44" s="13"/>
      <c r="G44" s="251"/>
      <c r="H44" s="325">
        <f>+H42+H38</f>
        <v>927531.04</v>
      </c>
      <c r="I44" s="256">
        <f>SUM(H25-H44)</f>
        <v>-0.36999999999534339</v>
      </c>
      <c r="J44" s="332">
        <f>SUM(J38,J42)</f>
        <v>830673.5</v>
      </c>
    </row>
    <row r="45" spans="1:10" ht="2" customHeight="1" thickTop="1" x14ac:dyDescent="0.15">
      <c r="C45" s="13"/>
      <c r="D45" s="13"/>
      <c r="E45" s="13"/>
      <c r="F45" s="13"/>
      <c r="G45" s="251"/>
      <c r="H45" s="252"/>
      <c r="I45" s="255"/>
    </row>
    <row r="46" spans="1:10" x14ac:dyDescent="0.15">
      <c r="C46" s="13"/>
      <c r="D46" s="13"/>
      <c r="E46" s="13"/>
      <c r="F46" s="13"/>
      <c r="G46" s="257"/>
      <c r="H46" s="261"/>
      <c r="I46" s="255"/>
    </row>
    <row r="47" spans="1:10" hidden="1" x14ac:dyDescent="0.15">
      <c r="A47" s="1"/>
      <c r="B47" s="1"/>
      <c r="C47" s="13"/>
      <c r="D47" s="13"/>
      <c r="E47" s="13"/>
      <c r="F47" s="251"/>
      <c r="H47">
        <f>SUM(H25-H44)</f>
        <v>-0.36999999999534339</v>
      </c>
      <c r="I47" s="255"/>
    </row>
    <row r="48" spans="1:10" hidden="1" x14ac:dyDescent="0.15">
      <c r="A48" s="1"/>
      <c r="B48" s="1"/>
      <c r="C48" s="13"/>
      <c r="D48" s="16"/>
      <c r="E48" s="13"/>
      <c r="F48" s="251"/>
      <c r="H48"/>
      <c r="I48" s="255"/>
    </row>
    <row r="49" spans="1:9" hidden="1" x14ac:dyDescent="0.15">
      <c r="A49" s="1"/>
      <c r="B49" s="1"/>
      <c r="C49" s="13"/>
      <c r="D49" s="16"/>
      <c r="E49" s="13"/>
      <c r="F49" s="251"/>
      <c r="G49" s="257"/>
      <c r="H49" s="261">
        <f>SUM(H25-H44)</f>
        <v>-0.36999999999534339</v>
      </c>
      <c r="I49" s="255"/>
    </row>
    <row r="50" spans="1:9" x14ac:dyDescent="0.15">
      <c r="A50" s="1"/>
      <c r="B50" s="1"/>
      <c r="C50" s="13"/>
      <c r="D50" s="13"/>
      <c r="E50" s="13"/>
      <c r="F50" s="13"/>
      <c r="G50" s="130"/>
      <c r="H50" s="261"/>
      <c r="I50" s="255"/>
    </row>
    <row r="51" spans="1:9" x14ac:dyDescent="0.15">
      <c r="A51" s="1"/>
      <c r="B51" s="98"/>
      <c r="C51" s="13"/>
      <c r="D51" s="13"/>
      <c r="E51" s="13"/>
      <c r="F51" s="13"/>
      <c r="G51" s="130"/>
      <c r="H51" s="261"/>
      <c r="I51" s="255"/>
    </row>
    <row r="52" spans="1:9" x14ac:dyDescent="0.15">
      <c r="A52" s="1"/>
      <c r="B52" s="1"/>
      <c r="C52" s="13"/>
      <c r="D52" s="13"/>
      <c r="E52" s="13"/>
      <c r="F52" s="13"/>
      <c r="G52" s="13"/>
    </row>
    <row r="53" spans="1:9" x14ac:dyDescent="0.15">
      <c r="A53" s="1"/>
      <c r="B53" s="1"/>
      <c r="C53" s="13"/>
      <c r="D53" s="13"/>
      <c r="E53" s="13"/>
      <c r="F53" s="13"/>
      <c r="G53" s="13"/>
    </row>
    <row r="54" spans="1:9" x14ac:dyDescent="0.15">
      <c r="A54" s="1"/>
      <c r="B54" s="1"/>
      <c r="C54" s="13"/>
      <c r="D54" s="13"/>
      <c r="E54" s="13"/>
      <c r="F54" s="13"/>
      <c r="G54" s="13"/>
    </row>
    <row r="55" spans="1:9" x14ac:dyDescent="0.15">
      <c r="A55" s="1"/>
      <c r="B55" s="1"/>
      <c r="C55" s="13"/>
      <c r="D55" s="13"/>
      <c r="E55" s="13"/>
      <c r="F55" s="13"/>
      <c r="G55" s="13"/>
    </row>
    <row r="56" spans="1:9" x14ac:dyDescent="0.15">
      <c r="A56" s="1"/>
      <c r="B56" s="1"/>
      <c r="C56" s="13"/>
      <c r="D56" s="13"/>
      <c r="E56" s="13"/>
      <c r="F56" s="13"/>
      <c r="G56" s="13"/>
      <c r="H56" s="27" t="s">
        <v>160</v>
      </c>
    </row>
    <row r="57" spans="1:9" x14ac:dyDescent="0.15">
      <c r="A57" s="1"/>
      <c r="B57" s="1"/>
      <c r="C57" s="13"/>
      <c r="D57" s="13"/>
      <c r="E57" s="13"/>
      <c r="F57" s="13"/>
      <c r="G57" s="13"/>
    </row>
    <row r="58" spans="1:9" x14ac:dyDescent="0.15">
      <c r="A58" s="1"/>
      <c r="B58" s="1"/>
      <c r="C58" s="13"/>
      <c r="D58" s="13"/>
      <c r="E58" s="13"/>
      <c r="F58" s="13"/>
      <c r="G58" s="13"/>
    </row>
    <row r="59" spans="1:9" x14ac:dyDescent="0.15">
      <c r="A59" s="1"/>
      <c r="B59" s="1"/>
      <c r="C59" s="13"/>
      <c r="D59" s="13"/>
      <c r="E59" s="13"/>
      <c r="F59" s="13"/>
      <c r="G59" s="13"/>
    </row>
    <row r="60" spans="1:9" x14ac:dyDescent="0.15">
      <c r="A60" s="1"/>
      <c r="B60" s="1"/>
      <c r="C60" s="13"/>
      <c r="D60" s="13"/>
      <c r="E60" s="13"/>
      <c r="F60" s="13"/>
      <c r="G60" s="13"/>
    </row>
    <row r="61" spans="1:9" x14ac:dyDescent="0.15">
      <c r="A61" s="1"/>
      <c r="B61" s="1"/>
      <c r="C61" s="13"/>
      <c r="D61" s="13"/>
      <c r="E61" s="13"/>
      <c r="F61" s="13"/>
      <c r="G61" s="13"/>
    </row>
    <row r="62" spans="1:9" x14ac:dyDescent="0.15">
      <c r="A62" s="215"/>
      <c r="B62" s="215"/>
      <c r="C62" s="21"/>
      <c r="D62" s="21"/>
      <c r="E62" s="21"/>
      <c r="F62" s="21"/>
      <c r="G62" s="21"/>
      <c r="H62" s="106"/>
      <c r="I62" s="117"/>
    </row>
    <row r="63" spans="1:9" x14ac:dyDescent="0.15">
      <c r="A63" s="215"/>
      <c r="B63" s="215"/>
      <c r="C63" s="21"/>
      <c r="D63" s="21"/>
      <c r="E63" s="21"/>
      <c r="F63" s="21"/>
      <c r="G63" s="21"/>
      <c r="H63" s="106"/>
    </row>
    <row r="64" spans="1:9" x14ac:dyDescent="0.15">
      <c r="A64" s="215"/>
      <c r="B64" s="215"/>
      <c r="C64" s="21"/>
      <c r="D64" s="21"/>
      <c r="E64" s="21"/>
      <c r="F64" s="21"/>
      <c r="G64" s="21"/>
      <c r="H64" s="106"/>
      <c r="I64" s="117"/>
    </row>
    <row r="65" spans="1:9" x14ac:dyDescent="0.15">
      <c r="A65" s="215"/>
      <c r="B65" s="215"/>
      <c r="C65" s="21"/>
      <c r="D65" s="21"/>
      <c r="E65" s="21"/>
      <c r="F65" s="21"/>
      <c r="G65" s="21"/>
      <c r="H65" s="106"/>
      <c r="I65" s="117"/>
    </row>
    <row r="66" spans="1:9" x14ac:dyDescent="0.15">
      <c r="A66" s="215"/>
      <c r="B66" s="215"/>
      <c r="C66" s="21"/>
      <c r="D66" s="21"/>
      <c r="E66" s="21"/>
      <c r="F66" s="21"/>
      <c r="G66" s="21"/>
      <c r="H66" s="106"/>
      <c r="I66" s="117"/>
    </row>
    <row r="67" spans="1:9" x14ac:dyDescent="0.15">
      <c r="A67" s="215"/>
      <c r="B67" s="215"/>
      <c r="C67" s="21"/>
      <c r="D67" s="21"/>
      <c r="E67" s="21"/>
      <c r="F67" s="21"/>
      <c r="G67" s="21"/>
      <c r="H67" s="106"/>
      <c r="I67" s="117"/>
    </row>
    <row r="68" spans="1:9" x14ac:dyDescent="0.15">
      <c r="A68" s="215"/>
      <c r="B68" s="215"/>
      <c r="C68" s="21"/>
      <c r="D68" s="21"/>
      <c r="E68" s="21"/>
      <c r="F68" s="21"/>
      <c r="G68" s="21"/>
      <c r="H68" s="106"/>
      <c r="I68" s="117"/>
    </row>
    <row r="69" spans="1:9" x14ac:dyDescent="0.15">
      <c r="A69" s="215"/>
      <c r="B69" s="215"/>
      <c r="C69" s="21"/>
      <c r="D69" s="21"/>
      <c r="E69" s="21"/>
      <c r="F69" s="21"/>
      <c r="G69" s="21"/>
      <c r="H69" s="106"/>
      <c r="I69" s="117"/>
    </row>
    <row r="70" spans="1:9" x14ac:dyDescent="0.15">
      <c r="A70" s="1"/>
      <c r="B70" s="1"/>
      <c r="C70" s="13"/>
      <c r="D70" s="13"/>
      <c r="E70" s="13"/>
      <c r="F70" s="13"/>
      <c r="G70" s="13"/>
    </row>
    <row r="71" spans="1:9" x14ac:dyDescent="0.15">
      <c r="A71" s="1"/>
      <c r="B71" s="1"/>
      <c r="C71" s="13"/>
      <c r="D71" s="13"/>
      <c r="E71" s="13"/>
      <c r="F71" s="13"/>
      <c r="G71" s="13"/>
    </row>
    <row r="72" spans="1:9" x14ac:dyDescent="0.15">
      <c r="A72" s="1"/>
      <c r="B72" s="1"/>
      <c r="C72" s="13"/>
      <c r="D72" s="13"/>
      <c r="E72" s="13"/>
      <c r="F72" s="13"/>
      <c r="G72" s="13"/>
    </row>
    <row r="73" spans="1:9" x14ac:dyDescent="0.15">
      <c r="A73" s="1"/>
      <c r="B73" s="1"/>
      <c r="C73" s="13"/>
      <c r="D73" s="13"/>
      <c r="E73" s="13"/>
      <c r="F73" s="13"/>
      <c r="G73" s="13"/>
    </row>
    <row r="74" spans="1:9" x14ac:dyDescent="0.15">
      <c r="A74" s="1"/>
      <c r="B74" s="1"/>
      <c r="C74" s="13"/>
      <c r="D74" s="13"/>
      <c r="E74" s="13"/>
      <c r="F74" s="13"/>
      <c r="G74" s="13"/>
      <c r="H74" s="212"/>
    </row>
    <row r="75" spans="1:9" x14ac:dyDescent="0.15">
      <c r="A75" s="1"/>
      <c r="B75" s="1"/>
      <c r="C75" s="13"/>
      <c r="D75" s="13"/>
      <c r="E75" s="13"/>
      <c r="F75" s="13"/>
      <c r="G75" s="13"/>
      <c r="H75" s="212"/>
    </row>
    <row r="76" spans="1:9" x14ac:dyDescent="0.15">
      <c r="A76" s="1"/>
      <c r="B76" s="1"/>
      <c r="C76" s="13"/>
      <c r="D76" s="13"/>
      <c r="E76" s="13"/>
      <c r="F76" s="13"/>
      <c r="G76" s="13"/>
      <c r="H76" s="212"/>
    </row>
    <row r="77" spans="1:9" x14ac:dyDescent="0.15">
      <c r="A77" s="1"/>
      <c r="B77" s="1"/>
      <c r="C77" s="13"/>
      <c r="D77" s="13"/>
      <c r="E77" s="13"/>
      <c r="F77" s="13"/>
      <c r="G77" s="13"/>
      <c r="H77" s="212"/>
    </row>
    <row r="78" spans="1:9" x14ac:dyDescent="0.15">
      <c r="A78" s="1"/>
      <c r="B78" s="1"/>
      <c r="C78" s="13"/>
      <c r="D78" s="13"/>
      <c r="E78" s="13"/>
      <c r="F78" s="13"/>
      <c r="G78" s="13"/>
      <c r="H78" s="212"/>
    </row>
    <row r="79" spans="1:9" x14ac:dyDescent="0.15">
      <c r="A79" s="1"/>
      <c r="B79" s="1"/>
      <c r="C79" s="13"/>
      <c r="D79" s="13"/>
      <c r="E79" s="13"/>
      <c r="F79" s="13"/>
      <c r="G79" s="13"/>
      <c r="H79" s="212"/>
    </row>
    <row r="80" spans="1:9" x14ac:dyDescent="0.15">
      <c r="A80" s="1"/>
      <c r="B80" s="1"/>
      <c r="C80" s="13"/>
      <c r="D80" s="13"/>
      <c r="E80" s="13"/>
      <c r="F80" s="13"/>
      <c r="G80" s="13"/>
      <c r="H80" s="212"/>
    </row>
    <row r="81" spans="1:8" x14ac:dyDescent="0.15">
      <c r="A81" s="1"/>
      <c r="B81" s="1"/>
      <c r="C81" s="13"/>
      <c r="D81" s="13"/>
      <c r="E81" s="13"/>
      <c r="F81" s="13"/>
      <c r="G81" s="13"/>
      <c r="H81" s="212"/>
    </row>
    <row r="82" spans="1:8" x14ac:dyDescent="0.15">
      <c r="A82" s="1"/>
      <c r="B82" s="1"/>
      <c r="C82" s="13"/>
      <c r="D82" s="13"/>
      <c r="E82" s="13"/>
      <c r="F82" s="13"/>
      <c r="G82" s="13"/>
      <c r="H82" s="212"/>
    </row>
    <row r="83" spans="1:8" x14ac:dyDescent="0.15">
      <c r="A83" s="1"/>
      <c r="B83" s="1"/>
      <c r="C83" s="13"/>
      <c r="D83" s="13"/>
      <c r="E83" s="13"/>
      <c r="F83" s="13"/>
      <c r="G83" s="13"/>
      <c r="H83" s="212"/>
    </row>
    <row r="84" spans="1:8" x14ac:dyDescent="0.15">
      <c r="A84" s="1"/>
      <c r="B84" s="1"/>
      <c r="C84" s="13"/>
      <c r="D84" s="13"/>
      <c r="E84" s="13"/>
      <c r="F84" s="13"/>
      <c r="G84" s="13"/>
      <c r="H84" s="212">
        <f t="shared" ref="H84:H89" si="0">F84-G84</f>
        <v>0</v>
      </c>
    </row>
    <row r="85" spans="1:8" x14ac:dyDescent="0.15">
      <c r="A85" s="1"/>
      <c r="B85" s="1"/>
      <c r="C85" s="13"/>
      <c r="D85" s="13"/>
      <c r="E85" s="13"/>
      <c r="F85" s="13"/>
      <c r="G85" s="13"/>
      <c r="H85" s="212">
        <f t="shared" si="0"/>
        <v>0</v>
      </c>
    </row>
    <row r="86" spans="1:8" x14ac:dyDescent="0.15">
      <c r="A86" s="1"/>
      <c r="B86" s="1"/>
      <c r="C86" s="13"/>
      <c r="D86" s="13"/>
      <c r="E86" s="13"/>
      <c r="F86" s="13"/>
      <c r="G86" s="13"/>
      <c r="H86" s="212">
        <f t="shared" si="0"/>
        <v>0</v>
      </c>
    </row>
    <row r="87" spans="1:8" x14ac:dyDescent="0.15">
      <c r="A87" s="1"/>
      <c r="B87" s="1"/>
      <c r="C87" s="13"/>
      <c r="D87" s="13"/>
      <c r="E87" s="13"/>
      <c r="F87" s="13"/>
      <c r="G87" s="13"/>
      <c r="H87" s="212">
        <f t="shared" si="0"/>
        <v>0</v>
      </c>
    </row>
    <row r="88" spans="1:8" x14ac:dyDescent="0.15">
      <c r="A88" s="1"/>
      <c r="B88" s="1"/>
      <c r="C88" s="13"/>
      <c r="D88" s="13"/>
      <c r="E88" s="13"/>
      <c r="F88" s="13"/>
      <c r="G88" s="13"/>
      <c r="H88" s="212">
        <f t="shared" si="0"/>
        <v>0</v>
      </c>
    </row>
    <row r="89" spans="1:8" x14ac:dyDescent="0.15">
      <c r="A89" s="1"/>
      <c r="B89" s="1"/>
      <c r="C89" s="13"/>
      <c r="D89" s="13"/>
      <c r="E89" s="13"/>
      <c r="F89" s="13"/>
      <c r="G89" s="13"/>
      <c r="H89" s="212">
        <f t="shared" si="0"/>
        <v>0</v>
      </c>
    </row>
    <row r="90" spans="1:8" x14ac:dyDescent="0.15">
      <c r="A90" s="1"/>
      <c r="B90" s="1"/>
      <c r="C90" s="13"/>
      <c r="D90" s="13"/>
      <c r="E90" s="13"/>
      <c r="F90" s="13"/>
      <c r="G90" s="13"/>
      <c r="H90" s="212"/>
    </row>
    <row r="91" spans="1:8" x14ac:dyDescent="0.15">
      <c r="A91" s="1"/>
      <c r="B91" s="1"/>
      <c r="C91" s="13"/>
      <c r="D91" s="13"/>
      <c r="E91" s="13"/>
      <c r="F91" s="13"/>
      <c r="G91" s="13"/>
      <c r="H91" s="212"/>
    </row>
    <row r="92" spans="1:8" x14ac:dyDescent="0.15">
      <c r="A92" s="1"/>
      <c r="B92" s="1"/>
      <c r="C92" s="13"/>
      <c r="D92" s="13"/>
      <c r="E92" s="13"/>
      <c r="F92" s="13"/>
      <c r="G92" s="13"/>
      <c r="H92" s="212"/>
    </row>
    <row r="93" spans="1:8" x14ac:dyDescent="0.15">
      <c r="A93" s="1"/>
      <c r="B93" s="1"/>
      <c r="C93" s="13"/>
      <c r="D93" s="13"/>
      <c r="E93" s="13"/>
      <c r="F93" s="13"/>
      <c r="G93" s="13"/>
      <c r="H93" s="212"/>
    </row>
    <row r="94" spans="1:8" x14ac:dyDescent="0.15">
      <c r="A94" s="1"/>
      <c r="B94" s="1"/>
      <c r="C94" s="13"/>
      <c r="D94" s="13"/>
      <c r="E94" s="13"/>
      <c r="F94" s="13"/>
      <c r="G94" s="13"/>
      <c r="H94" s="212"/>
    </row>
    <row r="95" spans="1:8" x14ac:dyDescent="0.15">
      <c r="A95" s="1"/>
      <c r="B95" s="1"/>
      <c r="C95" s="13"/>
      <c r="D95" s="13"/>
      <c r="E95" s="13"/>
      <c r="F95" s="13"/>
      <c r="G95" s="13"/>
      <c r="H95" s="212"/>
    </row>
    <row r="96" spans="1:8" x14ac:dyDescent="0.15">
      <c r="A96" s="1"/>
      <c r="B96" s="1"/>
      <c r="C96" s="13"/>
      <c r="D96" s="13"/>
      <c r="E96" s="13"/>
      <c r="F96" s="13"/>
      <c r="G96" s="13"/>
      <c r="H96" s="212"/>
    </row>
    <row r="97" spans="1:8" x14ac:dyDescent="0.15">
      <c r="A97" s="1"/>
      <c r="B97" s="1"/>
      <c r="C97" s="1"/>
      <c r="D97" s="1"/>
      <c r="E97" s="1"/>
      <c r="F97" s="1"/>
      <c r="G97" s="1"/>
      <c r="H97" s="213"/>
    </row>
    <row r="98" spans="1:8" x14ac:dyDescent="0.15">
      <c r="A98" s="1"/>
      <c r="B98" s="1"/>
      <c r="C98" s="1"/>
      <c r="D98" s="1"/>
      <c r="E98" s="1"/>
      <c r="F98" s="1"/>
      <c r="G98" s="1"/>
      <c r="H98" s="213"/>
    </row>
    <row r="99" spans="1:8" x14ac:dyDescent="0.15">
      <c r="A99" s="1"/>
      <c r="B99" s="1"/>
      <c r="C99" s="1"/>
      <c r="D99" s="1"/>
      <c r="E99" s="1"/>
      <c r="F99" s="1"/>
      <c r="G99" s="1"/>
      <c r="H99" s="211"/>
    </row>
    <row r="100" spans="1:8" x14ac:dyDescent="0.15">
      <c r="A100" s="1"/>
      <c r="B100" s="1"/>
      <c r="C100" s="1"/>
      <c r="D100" s="1"/>
      <c r="E100" s="1"/>
      <c r="F100" s="1"/>
      <c r="G100" s="1"/>
      <c r="H100" s="211"/>
    </row>
    <row r="101" spans="1:8" x14ac:dyDescent="0.15">
      <c r="A101" s="1"/>
      <c r="B101" s="1"/>
      <c r="C101" s="1"/>
      <c r="D101" s="1"/>
      <c r="E101" s="1"/>
      <c r="F101" s="1"/>
      <c r="G101" s="1"/>
      <c r="H101" s="211">
        <f>F101-G101</f>
        <v>0</v>
      </c>
    </row>
    <row r="102" spans="1:8" x14ac:dyDescent="0.15">
      <c r="A102" s="1"/>
      <c r="B102" s="1"/>
      <c r="C102" s="1"/>
      <c r="D102" s="1"/>
      <c r="E102" s="1"/>
      <c r="F102" s="1"/>
      <c r="G102" s="1"/>
      <c r="H102" s="211">
        <f t="shared" ref="H102:H117" si="1">F102-G102</f>
        <v>0</v>
      </c>
    </row>
    <row r="103" spans="1:8" x14ac:dyDescent="0.15">
      <c r="A103" s="1"/>
      <c r="B103" s="1"/>
      <c r="C103" s="1"/>
      <c r="D103" s="1"/>
      <c r="E103" s="1"/>
      <c r="F103" s="1"/>
      <c r="G103" s="1"/>
      <c r="H103" s="211">
        <f t="shared" si="1"/>
        <v>0</v>
      </c>
    </row>
    <row r="104" spans="1:8" x14ac:dyDescent="0.15">
      <c r="A104" s="1"/>
      <c r="B104" s="1"/>
      <c r="C104" s="1"/>
      <c r="D104" s="1"/>
      <c r="E104" s="1"/>
      <c r="F104" s="1"/>
      <c r="G104" s="1"/>
      <c r="H104" s="211">
        <f t="shared" si="1"/>
        <v>0</v>
      </c>
    </row>
    <row r="105" spans="1:8" x14ac:dyDescent="0.15">
      <c r="A105" s="1"/>
      <c r="B105" s="1"/>
      <c r="C105" s="1"/>
      <c r="D105" s="1"/>
      <c r="E105" s="1"/>
      <c r="F105" s="1"/>
      <c r="G105" s="1"/>
      <c r="H105" s="211">
        <f t="shared" si="1"/>
        <v>0</v>
      </c>
    </row>
    <row r="106" spans="1:8" x14ac:dyDescent="0.15">
      <c r="A106" s="1"/>
      <c r="B106" s="1"/>
      <c r="C106" s="1"/>
      <c r="D106" s="1"/>
      <c r="E106" s="1"/>
      <c r="F106" s="1"/>
      <c r="G106" s="1"/>
      <c r="H106" s="211"/>
    </row>
    <row r="107" spans="1:8" x14ac:dyDescent="0.15">
      <c r="A107" s="1"/>
      <c r="B107" s="1"/>
      <c r="C107" s="1"/>
      <c r="D107" s="1"/>
      <c r="E107" s="1"/>
      <c r="F107" s="1"/>
      <c r="G107" s="1"/>
      <c r="H107" s="211">
        <f t="shared" si="1"/>
        <v>0</v>
      </c>
    </row>
    <row r="108" spans="1:8" x14ac:dyDescent="0.15">
      <c r="A108" s="1"/>
      <c r="B108" s="1"/>
      <c r="C108" s="1"/>
      <c r="D108" s="1"/>
      <c r="E108" s="1"/>
      <c r="F108" s="1"/>
      <c r="G108" s="1"/>
      <c r="H108" s="211">
        <f t="shared" si="1"/>
        <v>0</v>
      </c>
    </row>
    <row r="109" spans="1:8" x14ac:dyDescent="0.15">
      <c r="A109" s="1"/>
      <c r="B109" s="1"/>
      <c r="C109" s="1"/>
      <c r="D109" s="1"/>
      <c r="E109" s="1"/>
      <c r="F109" s="1"/>
      <c r="G109" s="1"/>
      <c r="H109" s="211">
        <f t="shared" si="1"/>
        <v>0</v>
      </c>
    </row>
    <row r="110" spans="1:8" x14ac:dyDescent="0.15">
      <c r="A110" s="1"/>
      <c r="B110" s="1"/>
      <c r="C110" s="1"/>
      <c r="D110" s="1"/>
      <c r="E110" s="1"/>
      <c r="F110" s="1"/>
      <c r="G110" s="1"/>
      <c r="H110" s="211">
        <f t="shared" si="1"/>
        <v>0</v>
      </c>
    </row>
    <row r="111" spans="1:8" x14ac:dyDescent="0.15">
      <c r="A111" s="1"/>
      <c r="B111" s="1"/>
      <c r="C111" s="1"/>
      <c r="D111" s="1"/>
      <c r="E111" s="1"/>
      <c r="F111" s="1"/>
      <c r="G111" s="1"/>
      <c r="H111" s="211">
        <f t="shared" si="1"/>
        <v>0</v>
      </c>
    </row>
    <row r="112" spans="1:8" x14ac:dyDescent="0.15">
      <c r="A112" s="1"/>
      <c r="B112" s="1"/>
      <c r="C112" s="1"/>
      <c r="D112" s="1"/>
      <c r="E112" s="1"/>
      <c r="F112" s="1"/>
      <c r="G112" s="1"/>
      <c r="H112" s="211">
        <f t="shared" si="1"/>
        <v>0</v>
      </c>
    </row>
    <row r="113" spans="1:8" x14ac:dyDescent="0.15">
      <c r="A113" s="1"/>
      <c r="B113" s="1"/>
      <c r="C113" s="1"/>
      <c r="D113" s="1"/>
      <c r="E113" s="1"/>
      <c r="F113" s="1"/>
      <c r="G113" s="1"/>
      <c r="H113" s="211">
        <f t="shared" si="1"/>
        <v>0</v>
      </c>
    </row>
    <row r="114" spans="1:8" x14ac:dyDescent="0.15">
      <c r="A114" s="1"/>
      <c r="B114" s="1"/>
      <c r="C114" s="1"/>
      <c r="D114" s="1"/>
      <c r="E114" s="1"/>
      <c r="F114" s="1"/>
      <c r="G114" s="1"/>
      <c r="H114" s="211"/>
    </row>
    <row r="115" spans="1:8" x14ac:dyDescent="0.15">
      <c r="A115" s="1"/>
      <c r="B115" s="1"/>
      <c r="C115" s="1"/>
      <c r="D115" s="1"/>
      <c r="E115" s="1"/>
      <c r="F115" s="1"/>
      <c r="G115" s="1"/>
      <c r="H115" s="211">
        <f t="shared" si="1"/>
        <v>0</v>
      </c>
    </row>
    <row r="116" spans="1:8" x14ac:dyDescent="0.15">
      <c r="A116" s="1"/>
      <c r="B116" s="1"/>
      <c r="C116" s="1"/>
      <c r="D116" s="1"/>
      <c r="E116" s="1"/>
      <c r="F116" s="1"/>
      <c r="G116" s="1"/>
      <c r="H116" s="211">
        <f t="shared" si="1"/>
        <v>0</v>
      </c>
    </row>
    <row r="117" spans="1:8" x14ac:dyDescent="0.15">
      <c r="A117" s="1"/>
      <c r="B117" s="1"/>
      <c r="C117" s="1"/>
      <c r="D117" s="1"/>
      <c r="E117" s="1"/>
      <c r="F117" s="1"/>
      <c r="G117" s="1"/>
      <c r="H117" s="211">
        <f t="shared" si="1"/>
        <v>0</v>
      </c>
    </row>
    <row r="118" spans="1:8" x14ac:dyDescent="0.15">
      <c r="A118" s="1"/>
      <c r="B118" s="1"/>
      <c r="C118" s="1"/>
      <c r="D118" s="1"/>
      <c r="E118" s="1"/>
      <c r="F118" s="1"/>
      <c r="G118" s="1"/>
      <c r="H118" s="211"/>
    </row>
    <row r="119" spans="1:8" x14ac:dyDescent="0.15">
      <c r="A119" s="1"/>
      <c r="B119" s="1"/>
      <c r="C119" s="1"/>
      <c r="D119" s="1"/>
      <c r="E119" s="1"/>
      <c r="F119" s="1"/>
      <c r="G119" s="1"/>
      <c r="H119" s="211"/>
    </row>
    <row r="120" spans="1:8" x14ac:dyDescent="0.15">
      <c r="A120" s="1"/>
      <c r="B120" s="1"/>
      <c r="C120" s="1"/>
      <c r="D120" s="1"/>
      <c r="E120" s="1"/>
      <c r="F120" s="1"/>
      <c r="G120" s="1"/>
      <c r="H120" s="211"/>
    </row>
    <row r="121" spans="1:8" x14ac:dyDescent="0.15">
      <c r="A121" s="1"/>
      <c r="B121" s="1"/>
      <c r="C121" s="1"/>
      <c r="D121" s="1"/>
      <c r="E121" s="1"/>
      <c r="F121" s="1"/>
      <c r="G121" s="1"/>
      <c r="H121" s="211">
        <f>+H39+H18+H11+H90+H120+H118+1</f>
        <v>1</v>
      </c>
    </row>
    <row r="122" spans="1:8" x14ac:dyDescent="0.15">
      <c r="A122" s="1"/>
      <c r="B122" s="1"/>
      <c r="C122" s="1"/>
      <c r="D122" s="1"/>
      <c r="E122" s="1"/>
      <c r="F122" s="1"/>
      <c r="G122" s="1"/>
      <c r="H122" s="211"/>
    </row>
    <row r="123" spans="1:8" x14ac:dyDescent="0.15">
      <c r="A123" s="1"/>
      <c r="B123" s="1"/>
      <c r="C123" s="1"/>
      <c r="D123" s="1"/>
      <c r="E123" s="1"/>
      <c r="F123" s="1"/>
      <c r="G123" s="1"/>
      <c r="H123" s="211"/>
    </row>
  </sheetData>
  <mergeCells count="5">
    <mergeCell ref="A3:J3"/>
    <mergeCell ref="A4:J4"/>
    <mergeCell ref="A5:J5"/>
    <mergeCell ref="A6:J6"/>
    <mergeCell ref="A7:J7"/>
  </mergeCells>
  <phoneticPr fontId="11" type="noConversion"/>
  <pageMargins left="0.5" right="0.2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Z159"/>
  <sheetViews>
    <sheetView view="pageBreakPreview" zoomScale="90" zoomScaleSheetLayoutView="90" workbookViewId="0">
      <selection activeCell="A2" sqref="A2:G2"/>
    </sheetView>
  </sheetViews>
  <sheetFormatPr baseColWidth="10" defaultColWidth="8.83203125" defaultRowHeight="13" x14ac:dyDescent="0.15"/>
  <cols>
    <col min="2" max="2" width="45.6640625" customWidth="1"/>
    <col min="3" max="3" width="19.33203125" bestFit="1" customWidth="1"/>
    <col min="4" max="4" width="14" bestFit="1" customWidth="1"/>
    <col min="5" max="5" width="15.1640625" bestFit="1" customWidth="1"/>
    <col min="6" max="6" width="15.5" bestFit="1" customWidth="1"/>
    <col min="7" max="7" width="16.5" style="124" customWidth="1"/>
  </cols>
  <sheetData>
    <row r="1" spans="1:18" x14ac:dyDescent="0.15">
      <c r="C1" s="402"/>
      <c r="D1" s="402"/>
      <c r="E1" s="402"/>
      <c r="F1" s="402"/>
      <c r="G1" s="402"/>
    </row>
    <row r="2" spans="1:18" s="194" customFormat="1" x14ac:dyDescent="0.15">
      <c r="A2" s="395" t="s">
        <v>1</v>
      </c>
      <c r="B2" s="396"/>
      <c r="C2" s="396"/>
      <c r="D2" s="396"/>
      <c r="E2" s="396"/>
      <c r="F2" s="396"/>
      <c r="G2" s="396"/>
      <c r="I2" s="282"/>
      <c r="J2" s="255"/>
      <c r="K2" s="255"/>
    </row>
    <row r="3" spans="1:18" s="194" customFormat="1" x14ac:dyDescent="0.15">
      <c r="A3" s="397" t="s">
        <v>218</v>
      </c>
      <c r="B3" s="396"/>
      <c r="C3" s="396"/>
      <c r="D3" s="396"/>
      <c r="E3" s="396"/>
      <c r="F3" s="396"/>
      <c r="G3" s="396"/>
      <c r="J3" s="255"/>
      <c r="K3" s="255"/>
    </row>
    <row r="4" spans="1:18" s="194" customFormat="1" x14ac:dyDescent="0.15">
      <c r="A4" s="398" t="s">
        <v>12</v>
      </c>
      <c r="B4" s="396"/>
      <c r="C4" s="396"/>
      <c r="D4" s="396"/>
      <c r="E4" s="396"/>
      <c r="F4" s="396"/>
      <c r="G4" s="396"/>
      <c r="H4" s="196"/>
      <c r="I4" s="284"/>
      <c r="J4" s="285"/>
      <c r="K4" s="285"/>
      <c r="L4" s="286"/>
      <c r="M4" s="286"/>
      <c r="N4" s="286"/>
      <c r="O4" s="286"/>
      <c r="P4" s="286"/>
      <c r="Q4" s="286"/>
    </row>
    <row r="5" spans="1:18" s="194" customFormat="1" x14ac:dyDescent="0.15">
      <c r="A5" s="399" t="str">
        <f>'income statement'!B5</f>
        <v>For the period ending November 30, 2016 &amp; 2015</v>
      </c>
      <c r="B5" s="396"/>
      <c r="C5" s="396"/>
      <c r="D5" s="396"/>
      <c r="E5" s="396"/>
      <c r="F5" s="396"/>
      <c r="G5" s="396"/>
      <c r="H5" s="287"/>
      <c r="I5" s="284"/>
      <c r="J5" s="285"/>
      <c r="K5" s="285"/>
      <c r="L5" s="286"/>
      <c r="M5" s="286"/>
      <c r="N5" s="286"/>
      <c r="O5" s="286"/>
      <c r="P5" s="286"/>
      <c r="Q5" s="286"/>
    </row>
    <row r="6" spans="1:18" hidden="1" x14ac:dyDescent="0.15">
      <c r="B6" s="402" t="s">
        <v>145</v>
      </c>
      <c r="C6" s="402"/>
      <c r="D6" s="402"/>
      <c r="E6" s="402"/>
      <c r="F6" s="118"/>
      <c r="G6" s="328"/>
      <c r="H6" s="118"/>
    </row>
    <row r="7" spans="1:18" x14ac:dyDescent="0.15">
      <c r="A7" s="400" t="s">
        <v>289</v>
      </c>
      <c r="B7" s="401"/>
      <c r="C7" s="401"/>
      <c r="D7" s="401"/>
      <c r="E7" s="401"/>
      <c r="F7" s="401"/>
      <c r="G7" s="401"/>
    </row>
    <row r="8" spans="1:18" x14ac:dyDescent="0.15">
      <c r="B8" s="5"/>
      <c r="C8" s="135">
        <v>501409.52</v>
      </c>
      <c r="D8" s="5"/>
      <c r="E8" s="5"/>
      <c r="F8" s="5"/>
    </row>
    <row r="9" spans="1:18" x14ac:dyDescent="0.15">
      <c r="B9" s="4"/>
      <c r="C9" s="136">
        <v>1928204.72</v>
      </c>
      <c r="D9" s="4"/>
      <c r="E9" s="4"/>
      <c r="F9" s="13"/>
    </row>
    <row r="10" spans="1:18" x14ac:dyDescent="0.15">
      <c r="B10" s="4"/>
      <c r="C10" s="4"/>
      <c r="D10" s="31"/>
      <c r="E10" s="101"/>
      <c r="F10" s="13"/>
      <c r="H10" s="123"/>
    </row>
    <row r="11" spans="1:18" x14ac:dyDescent="0.15">
      <c r="B11" s="29"/>
      <c r="C11" s="30">
        <v>42370</v>
      </c>
      <c r="D11" s="31"/>
      <c r="E11" s="30"/>
      <c r="F11" s="379">
        <v>42704</v>
      </c>
      <c r="G11" s="30">
        <v>42338</v>
      </c>
      <c r="H11" s="123"/>
      <c r="I11" s="24"/>
    </row>
    <row r="12" spans="1:18" x14ac:dyDescent="0.15">
      <c r="B12" s="29"/>
      <c r="C12" s="82" t="s">
        <v>13</v>
      </c>
      <c r="D12" s="82" t="s">
        <v>14</v>
      </c>
      <c r="E12" s="82" t="s">
        <v>14</v>
      </c>
      <c r="F12" s="102" t="s">
        <v>15</v>
      </c>
      <c r="G12" s="102" t="s">
        <v>15</v>
      </c>
      <c r="H12" s="125"/>
      <c r="I12" s="25"/>
    </row>
    <row r="13" spans="1:18" x14ac:dyDescent="0.15">
      <c r="B13" s="29"/>
      <c r="C13" s="34" t="s">
        <v>16</v>
      </c>
      <c r="D13" s="34" t="s">
        <v>17</v>
      </c>
      <c r="E13" s="34" t="s">
        <v>18</v>
      </c>
      <c r="F13" s="32" t="s">
        <v>16</v>
      </c>
      <c r="G13" s="32" t="s">
        <v>16</v>
      </c>
      <c r="H13" s="123"/>
    </row>
    <row r="14" spans="1:18" x14ac:dyDescent="0.15">
      <c r="B14" s="281" t="s">
        <v>206</v>
      </c>
      <c r="C14" s="10"/>
      <c r="D14" s="10"/>
      <c r="E14" s="10"/>
      <c r="F14" s="7"/>
      <c r="G14" s="277"/>
      <c r="H14" s="120"/>
      <c r="I14" s="7"/>
      <c r="L14" s="7"/>
      <c r="M14" s="7"/>
      <c r="N14" s="7"/>
      <c r="O14" s="7"/>
      <c r="P14" s="7"/>
      <c r="Q14" s="7"/>
      <c r="R14" s="7"/>
    </row>
    <row r="15" spans="1:18" x14ac:dyDescent="0.15">
      <c r="B15" s="4" t="s">
        <v>109</v>
      </c>
      <c r="C15" s="109">
        <v>355271</v>
      </c>
      <c r="D15" s="114">
        <f>+'income statement'!F12</f>
        <v>1217433.56</v>
      </c>
      <c r="E15" s="109">
        <f>-'income statement'!F34-E16-E19-E22-E24-E17-E20-E21</f>
        <v>-934083.6399999999</v>
      </c>
      <c r="F15" s="109">
        <f>SUM(C15:E15)+0</f>
        <v>638620.92000000016</v>
      </c>
      <c r="G15" s="109">
        <v>437570</v>
      </c>
      <c r="H15" s="120"/>
      <c r="I15" s="7"/>
      <c r="L15" s="7"/>
      <c r="M15" s="7"/>
      <c r="N15" s="7"/>
      <c r="O15" s="7"/>
      <c r="P15" s="7"/>
      <c r="Q15" s="7"/>
      <c r="R15" s="7"/>
    </row>
    <row r="16" spans="1:18" x14ac:dyDescent="0.15">
      <c r="B16" s="29" t="s">
        <v>30</v>
      </c>
      <c r="C16" s="113">
        <v>0</v>
      </c>
      <c r="D16" s="113">
        <f>+'income statement'!F13</f>
        <v>4167.91</v>
      </c>
      <c r="E16" s="113">
        <f>-D16</f>
        <v>-4167.91</v>
      </c>
      <c r="F16" s="112">
        <f t="shared" ref="F16:F24" si="0">SUM(C16:E16)</f>
        <v>0</v>
      </c>
      <c r="G16" s="112">
        <v>0</v>
      </c>
      <c r="H16" s="120"/>
      <c r="I16" s="7"/>
      <c r="L16" s="7"/>
      <c r="M16" s="7"/>
      <c r="N16" s="7"/>
      <c r="O16" s="7"/>
      <c r="P16" s="7"/>
      <c r="Q16" s="7"/>
      <c r="R16" s="7"/>
    </row>
    <row r="17" spans="2:26" hidden="1" x14ac:dyDescent="0.15">
      <c r="B17" s="167" t="s">
        <v>144</v>
      </c>
      <c r="C17" s="112">
        <v>0</v>
      </c>
      <c r="D17" s="112">
        <v>0</v>
      </c>
      <c r="E17" s="112">
        <v>0</v>
      </c>
      <c r="F17" s="112">
        <f t="shared" si="0"/>
        <v>0</v>
      </c>
      <c r="G17" s="112">
        <v>0</v>
      </c>
      <c r="H17" s="120"/>
      <c r="I17" s="7"/>
      <c r="L17" s="7"/>
      <c r="M17" s="7"/>
      <c r="N17" s="7"/>
      <c r="O17" s="7"/>
      <c r="P17" s="7"/>
      <c r="Q17" s="7"/>
      <c r="R17" s="7"/>
    </row>
    <row r="18" spans="2:26" hidden="1" x14ac:dyDescent="0.15">
      <c r="B18" s="29" t="s">
        <v>120</v>
      </c>
      <c r="C18" s="112">
        <v>0</v>
      </c>
      <c r="D18" s="112">
        <v>0</v>
      </c>
      <c r="E18" s="113">
        <f>-D18</f>
        <v>0</v>
      </c>
      <c r="F18" s="112">
        <f t="shared" si="0"/>
        <v>0</v>
      </c>
      <c r="G18" s="112">
        <v>0</v>
      </c>
      <c r="H18" s="148"/>
      <c r="I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</row>
    <row r="19" spans="2:26" x14ac:dyDescent="0.15">
      <c r="B19" s="29" t="s">
        <v>154</v>
      </c>
      <c r="C19" s="112">
        <v>0</v>
      </c>
      <c r="D19" s="112">
        <f>+'income statement'!F14+'income statement'!F15+'income statement'!F16</f>
        <v>4239.18</v>
      </c>
      <c r="E19" s="113">
        <f>-D19</f>
        <v>-4239.18</v>
      </c>
      <c r="F19" s="112">
        <f t="shared" si="0"/>
        <v>0</v>
      </c>
      <c r="G19" s="112">
        <v>0</v>
      </c>
      <c r="H19" s="148"/>
      <c r="I19" s="17"/>
      <c r="L19" s="17"/>
      <c r="M19" s="17"/>
      <c r="N19" s="17"/>
      <c r="O19" s="17"/>
      <c r="P19" s="17"/>
      <c r="Q19" s="17"/>
      <c r="R19" s="17"/>
      <c r="S19" s="18"/>
      <c r="T19" s="18"/>
      <c r="U19" s="18"/>
      <c r="V19" s="18"/>
      <c r="W19" s="18"/>
      <c r="X19" s="18"/>
      <c r="Y19" s="18"/>
      <c r="Z19" s="18"/>
    </row>
    <row r="20" spans="2:26" x14ac:dyDescent="0.15">
      <c r="B20" s="29" t="s">
        <v>164</v>
      </c>
      <c r="C20" s="112">
        <v>0</v>
      </c>
      <c r="D20" s="112">
        <f>'income statement'!F18</f>
        <v>47015</v>
      </c>
      <c r="E20" s="113">
        <f>('income statement'!F18)*-1</f>
        <v>-47015</v>
      </c>
      <c r="F20" s="112">
        <f t="shared" si="0"/>
        <v>0</v>
      </c>
      <c r="G20" s="112">
        <v>0</v>
      </c>
      <c r="H20" s="148"/>
      <c r="I20" s="17"/>
      <c r="L20" s="17"/>
      <c r="M20" s="17"/>
      <c r="N20" s="17"/>
      <c r="O20" s="17"/>
      <c r="P20" s="17"/>
      <c r="Q20" s="17"/>
      <c r="R20" s="17"/>
      <c r="S20" s="18"/>
      <c r="T20" s="18"/>
      <c r="U20" s="18"/>
      <c r="V20" s="18"/>
      <c r="W20" s="18"/>
      <c r="X20" s="18"/>
      <c r="Y20" s="18"/>
      <c r="Z20" s="18"/>
    </row>
    <row r="21" spans="2:26" x14ac:dyDescent="0.15">
      <c r="B21" s="29" t="s">
        <v>163</v>
      </c>
      <c r="C21" s="112">
        <v>0</v>
      </c>
      <c r="D21" s="112">
        <f>'income statement'!F17</f>
        <v>7500</v>
      </c>
      <c r="E21" s="113">
        <f>('income statement'!F17)*-1</f>
        <v>-7500</v>
      </c>
      <c r="F21" s="112">
        <f t="shared" si="0"/>
        <v>0</v>
      </c>
      <c r="G21" s="112">
        <v>0</v>
      </c>
      <c r="H21" s="148"/>
      <c r="I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</row>
    <row r="22" spans="2:26" x14ac:dyDescent="0.15">
      <c r="B22" s="281" t="s">
        <v>198</v>
      </c>
      <c r="C22" s="112">
        <v>0</v>
      </c>
      <c r="D22" s="112">
        <f>'income statement'!F21</f>
        <v>2572.35</v>
      </c>
      <c r="E22" s="113"/>
      <c r="F22" s="112">
        <f t="shared" si="0"/>
        <v>2572.35</v>
      </c>
      <c r="G22" s="112">
        <v>0</v>
      </c>
      <c r="H22" s="148"/>
      <c r="I22" s="17"/>
      <c r="L22" s="17"/>
      <c r="M22" s="17"/>
      <c r="N22" s="17"/>
      <c r="O22" s="17"/>
      <c r="P22" s="17"/>
      <c r="Q22" s="17"/>
      <c r="R22" s="17"/>
      <c r="S22" s="18"/>
      <c r="T22" s="18"/>
      <c r="U22" s="18"/>
      <c r="V22" s="18"/>
      <c r="W22" s="18"/>
      <c r="X22" s="18"/>
      <c r="Y22" s="18"/>
      <c r="Z22" s="18"/>
    </row>
    <row r="23" spans="2:26" s="392" customFormat="1" x14ac:dyDescent="0.15">
      <c r="B23" s="281" t="s">
        <v>342</v>
      </c>
      <c r="C23" s="112">
        <v>0</v>
      </c>
      <c r="D23" s="112">
        <f>'income statement'!F19</f>
        <v>13518.99</v>
      </c>
      <c r="E23" s="113"/>
      <c r="F23" s="112">
        <f t="shared" si="0"/>
        <v>13518.99</v>
      </c>
      <c r="G23" s="112"/>
      <c r="H23" s="148"/>
      <c r="I23" s="17"/>
      <c r="L23" s="17"/>
      <c r="M23" s="17"/>
      <c r="N23" s="17"/>
      <c r="O23" s="17"/>
      <c r="P23" s="17"/>
      <c r="Q23" s="17"/>
      <c r="R23" s="17"/>
      <c r="S23" s="18"/>
      <c r="T23" s="18"/>
      <c r="U23" s="18"/>
      <c r="V23" s="18"/>
      <c r="W23" s="18"/>
      <c r="X23" s="18"/>
      <c r="Y23" s="18"/>
      <c r="Z23" s="18"/>
    </row>
    <row r="24" spans="2:26" x14ac:dyDescent="0.15">
      <c r="B24" s="29" t="s">
        <v>107</v>
      </c>
      <c r="C24" s="112">
        <v>0</v>
      </c>
      <c r="D24" s="113"/>
      <c r="E24" s="133">
        <f>'income statement'!F33*-1</f>
        <v>20000</v>
      </c>
      <c r="F24" s="112">
        <f t="shared" si="0"/>
        <v>20000</v>
      </c>
      <c r="G24" s="112">
        <v>87499.5</v>
      </c>
      <c r="H24" s="152"/>
      <c r="I24" s="17"/>
      <c r="L24" s="17"/>
      <c r="M24" s="17"/>
      <c r="N24" s="1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</row>
    <row r="25" spans="2:26" x14ac:dyDescent="0.15">
      <c r="B25" s="167" t="s">
        <v>176</v>
      </c>
      <c r="C25" s="112">
        <v>0</v>
      </c>
      <c r="D25" s="112"/>
      <c r="E25" s="383">
        <f>SUM('income statement'!F35)*-1</f>
        <v>-78473.91</v>
      </c>
      <c r="F25" s="112">
        <f>C25+E25</f>
        <v>-78473.91</v>
      </c>
      <c r="G25" s="112">
        <v>-84986.4</v>
      </c>
      <c r="H25" s="152"/>
      <c r="I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</row>
    <row r="26" spans="2:26" ht="14" thickBot="1" x14ac:dyDescent="0.2">
      <c r="B26" s="29" t="s">
        <v>19</v>
      </c>
      <c r="C26" s="177">
        <f>SUM(C15:C25)</f>
        <v>355271</v>
      </c>
      <c r="D26" s="177">
        <f>SUM(D15:D25)</f>
        <v>1296446.99</v>
      </c>
      <c r="E26" s="177">
        <f>SUM(E15:E25)</f>
        <v>-1055479.6399999999</v>
      </c>
      <c r="F26" s="177">
        <f>SUM(F15:F25)</f>
        <v>596238.35000000009</v>
      </c>
      <c r="G26" s="177">
        <f>SUM(G15:G25)</f>
        <v>440083.1</v>
      </c>
      <c r="H26" s="151"/>
      <c r="I26" s="19"/>
      <c r="L26" s="19"/>
      <c r="M26" s="19"/>
      <c r="N26" s="19"/>
      <c r="O26" s="19"/>
      <c r="P26" s="19"/>
      <c r="Q26" s="19"/>
      <c r="R26" s="19"/>
      <c r="S26" s="15"/>
      <c r="T26" s="18"/>
      <c r="U26" s="18"/>
      <c r="V26" s="18"/>
      <c r="W26" s="18"/>
      <c r="X26" s="18"/>
      <c r="Y26" s="18"/>
      <c r="Z26" s="18"/>
    </row>
    <row r="27" spans="2:26" ht="14" thickTop="1" x14ac:dyDescent="0.15">
      <c r="B27" s="22"/>
      <c r="C27" s="126"/>
      <c r="D27" s="126"/>
      <c r="E27" s="126"/>
      <c r="F27" s="127"/>
      <c r="G27" s="194"/>
      <c r="H27" s="152"/>
      <c r="I27" s="7"/>
      <c r="L27" s="7"/>
      <c r="M27" s="7"/>
      <c r="N27" s="7"/>
      <c r="O27" s="7"/>
      <c r="P27" s="7"/>
      <c r="Q27" s="7"/>
      <c r="R27" s="7"/>
    </row>
    <row r="28" spans="2:26" x14ac:dyDescent="0.15">
      <c r="B28" s="22"/>
      <c r="C28" s="131"/>
      <c r="D28" s="131"/>
      <c r="E28" s="165">
        <f>+'income statement'!F34</f>
        <v>977005.73</v>
      </c>
      <c r="G28" s="194"/>
      <c r="H28" s="120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26" x14ac:dyDescent="0.15">
      <c r="B29" s="11"/>
      <c r="C29" s="129"/>
      <c r="D29" s="129"/>
      <c r="E29" s="166"/>
      <c r="G29" s="194"/>
      <c r="H29" s="120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26" x14ac:dyDescent="0.15">
      <c r="C30" s="129"/>
      <c r="D30" s="129"/>
      <c r="E30" s="166"/>
      <c r="F30" s="129"/>
      <c r="G30" s="194"/>
      <c r="H30" s="120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26" x14ac:dyDescent="0.15">
      <c r="B31" s="11"/>
      <c r="C31" s="129"/>
      <c r="D31" s="129"/>
      <c r="E31" s="129"/>
      <c r="F31" s="129"/>
      <c r="H31" s="120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26" x14ac:dyDescent="0.15">
      <c r="C32" s="132"/>
      <c r="D32" s="132"/>
      <c r="E32" s="132"/>
      <c r="F32" s="132"/>
      <c r="G32" s="194"/>
      <c r="H32" s="120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x14ac:dyDescent="0.15">
      <c r="B33" s="98"/>
      <c r="C33" s="132"/>
      <c r="D33" s="132"/>
      <c r="E33" s="132"/>
      <c r="F33" s="147"/>
      <c r="G33" s="194"/>
      <c r="H33" s="120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x14ac:dyDescent="0.15">
      <c r="C34" s="7"/>
      <c r="D34" s="7"/>
      <c r="E34" s="7"/>
      <c r="F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x14ac:dyDescent="0.15">
      <c r="C35" s="7"/>
      <c r="D35" s="7"/>
      <c r="E35" s="7"/>
      <c r="F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x14ac:dyDescent="0.15">
      <c r="C36" s="7"/>
      <c r="D36" s="7"/>
      <c r="E36" s="7"/>
      <c r="F36" s="7"/>
      <c r="G36" s="19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s="376" customFormat="1" x14ac:dyDescent="0.15">
      <c r="C37" s="7"/>
      <c r="D37" s="7"/>
      <c r="E37" s="7"/>
      <c r="F37" s="7"/>
      <c r="G37" s="19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x14ac:dyDescent="0.15">
      <c r="C38" s="7"/>
      <c r="D38" s="7"/>
      <c r="E38" s="7"/>
      <c r="G38" s="19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15">
      <c r="C39" s="7"/>
      <c r="D39" s="7"/>
      <c r="E39" s="7"/>
      <c r="F39" s="7"/>
      <c r="G39" s="19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x14ac:dyDescent="0.15">
      <c r="C40" s="7"/>
      <c r="D40" s="7"/>
      <c r="E40" s="7"/>
      <c r="F40" s="26" t="s">
        <v>20</v>
      </c>
      <c r="G40" s="19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x14ac:dyDescent="0.15">
      <c r="C41" s="7"/>
      <c r="D41" s="7"/>
      <c r="E41" s="7"/>
      <c r="F41" s="7"/>
      <c r="G41" s="194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x14ac:dyDescent="0.15">
      <c r="C42" s="7"/>
      <c r="D42" s="7"/>
      <c r="E42" s="7"/>
      <c r="F42" s="7"/>
      <c r="G42" s="194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15">
      <c r="C43" s="7"/>
      <c r="D43" s="7"/>
      <c r="E43" s="7"/>
      <c r="G43" s="194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x14ac:dyDescent="0.15">
      <c r="C44" s="7"/>
      <c r="D44" s="7"/>
      <c r="E44" s="7"/>
      <c r="F44" s="7"/>
      <c r="G44" s="194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x14ac:dyDescent="0.15">
      <c r="C45" s="7"/>
      <c r="D45" s="7"/>
      <c r="E45" s="7"/>
      <c r="F45" s="7"/>
      <c r="G45" s="194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 x14ac:dyDescent="0.15">
      <c r="C46" s="7"/>
      <c r="D46" s="7"/>
      <c r="E46" s="7"/>
      <c r="F46" s="7"/>
      <c r="G46" s="194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 x14ac:dyDescent="0.15">
      <c r="C47" s="7"/>
      <c r="D47" s="7"/>
      <c r="E47" s="7"/>
      <c r="F47" s="7"/>
      <c r="G47" s="19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x14ac:dyDescent="0.15">
      <c r="C48" s="7"/>
      <c r="D48" s="7"/>
      <c r="E48" s="7"/>
      <c r="F48" s="7"/>
      <c r="G48" s="19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15">
      <c r="C49" s="7"/>
      <c r="D49" s="7"/>
      <c r="E49" s="7"/>
      <c r="F49" s="7"/>
      <c r="G49" s="19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15">
      <c r="C50" s="7"/>
      <c r="D50" s="7"/>
      <c r="E50" s="7"/>
      <c r="F50" s="7"/>
      <c r="G50" s="19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15">
      <c r="C51" s="7"/>
      <c r="D51" s="7"/>
      <c r="E51" s="7"/>
      <c r="F51" s="7"/>
      <c r="G51" s="19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15">
      <c r="C52" s="7"/>
      <c r="D52" s="7"/>
      <c r="E52" s="7"/>
      <c r="F52" s="7"/>
      <c r="G52" s="194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15">
      <c r="C53" s="7"/>
      <c r="D53" s="7"/>
      <c r="E53" s="7"/>
      <c r="F53" s="7"/>
      <c r="G53" s="194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x14ac:dyDescent="0.15">
      <c r="C54" s="7"/>
      <c r="D54" s="7"/>
      <c r="E54" s="7"/>
      <c r="F54" s="7"/>
      <c r="G54" s="194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15">
      <c r="A55" s="376"/>
      <c r="C55" s="7"/>
      <c r="D55" s="7"/>
      <c r="E55" s="7"/>
      <c r="F55" s="7"/>
      <c r="G55" s="194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15">
      <c r="C56" s="7"/>
      <c r="D56" s="7"/>
      <c r="E56" s="7"/>
      <c r="F56" s="7"/>
      <c r="G56" s="194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15">
      <c r="C57" s="7"/>
      <c r="D57" s="7"/>
      <c r="E57" s="7"/>
      <c r="F57" s="7"/>
      <c r="G57" s="194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15">
      <c r="C58" s="7"/>
      <c r="D58" s="7"/>
      <c r="E58" s="7"/>
      <c r="F58" s="7"/>
      <c r="G58" s="194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15">
      <c r="C59" s="7"/>
      <c r="D59" s="7"/>
      <c r="E59" s="7"/>
      <c r="F59" s="7"/>
      <c r="G59" s="194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15">
      <c r="C60" s="7"/>
      <c r="D60" s="7"/>
      <c r="E60" s="7"/>
      <c r="F60" s="7"/>
      <c r="G60" s="194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x14ac:dyDescent="0.15">
      <c r="C61" s="7"/>
      <c r="D61" s="7"/>
      <c r="E61" s="7"/>
      <c r="F61" s="7"/>
      <c r="G61" s="194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x14ac:dyDescent="0.15">
      <c r="C62" s="7"/>
      <c r="D62" s="7"/>
      <c r="E62" s="7"/>
      <c r="F62" s="7"/>
      <c r="G62" s="194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15">
      <c r="C63" s="7"/>
      <c r="D63" s="7"/>
      <c r="E63" s="7"/>
      <c r="F63" s="7"/>
      <c r="G63" s="19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15">
      <c r="B64" s="208"/>
      <c r="C64" s="7"/>
      <c r="D64" s="7"/>
      <c r="E64" s="7"/>
      <c r="F64" s="7"/>
      <c r="G64" s="194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3:18" x14ac:dyDescent="0.15">
      <c r="C65" s="7"/>
      <c r="D65" s="7"/>
      <c r="E65" s="7"/>
      <c r="F65" s="7"/>
      <c r="G65" s="19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3:18" x14ac:dyDescent="0.15">
      <c r="C66" s="7"/>
      <c r="D66" s="7"/>
      <c r="E66" s="7"/>
      <c r="F66" s="7"/>
      <c r="G66" s="194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3:18" x14ac:dyDescent="0.15">
      <c r="C67" s="7"/>
      <c r="D67" s="7"/>
      <c r="E67" s="7"/>
      <c r="F67" s="7">
        <f>3750</f>
        <v>3750</v>
      </c>
      <c r="G67" s="194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3:18" x14ac:dyDescent="0.15">
      <c r="C68" s="7"/>
      <c r="D68" s="7"/>
      <c r="E68" s="7"/>
      <c r="F68" s="7"/>
      <c r="G68" s="194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3:18" x14ac:dyDescent="0.15">
      <c r="C69" s="7"/>
      <c r="D69" s="7"/>
      <c r="E69" s="7"/>
      <c r="F69" s="7"/>
      <c r="G69" s="194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3:18" x14ac:dyDescent="0.15">
      <c r="C70" s="7"/>
      <c r="D70" s="7"/>
      <c r="E70" s="7"/>
      <c r="F70" s="7"/>
      <c r="G70" s="194"/>
      <c r="H70" s="7"/>
      <c r="I70" s="7"/>
      <c r="J70" s="207"/>
      <c r="K70" s="7"/>
      <c r="L70" s="7"/>
      <c r="M70" s="7"/>
      <c r="N70" s="7"/>
      <c r="O70" s="7"/>
      <c r="P70" s="7"/>
      <c r="Q70" s="7"/>
      <c r="R70" s="7"/>
    </row>
    <row r="71" spans="3:18" x14ac:dyDescent="0.15">
      <c r="C71" s="7"/>
      <c r="D71" s="7"/>
      <c r="E71" s="7"/>
      <c r="F71" s="7">
        <v>3500</v>
      </c>
      <c r="G71" s="194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3:18" x14ac:dyDescent="0.15">
      <c r="C72" s="7"/>
      <c r="D72" s="7"/>
      <c r="E72" s="7"/>
      <c r="F72" s="7">
        <f>3750</f>
        <v>3750</v>
      </c>
      <c r="G72" s="194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3:18" x14ac:dyDescent="0.15">
      <c r="C73" s="7"/>
      <c r="D73" s="7"/>
      <c r="E73" s="7"/>
      <c r="F73" s="7"/>
      <c r="G73" s="194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3:18" x14ac:dyDescent="0.15">
      <c r="C74" s="7"/>
      <c r="D74" s="7"/>
      <c r="E74" s="7"/>
      <c r="F74" s="7">
        <f>3750+3750+3750</f>
        <v>11250</v>
      </c>
      <c r="G74" s="194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3:18" x14ac:dyDescent="0.15">
      <c r="C75" s="7"/>
      <c r="D75" s="7"/>
      <c r="E75" s="7"/>
      <c r="F75" s="7"/>
      <c r="G75" s="194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3:18" x14ac:dyDescent="0.15">
      <c r="C76" s="7"/>
      <c r="D76" s="7"/>
      <c r="E76" s="7"/>
      <c r="F76" s="7"/>
      <c r="G76" s="194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3:18" x14ac:dyDescent="0.15">
      <c r="C77" s="7"/>
      <c r="D77" s="7"/>
      <c r="E77" s="7"/>
      <c r="F77" s="7"/>
      <c r="G77" s="194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3:18" x14ac:dyDescent="0.15">
      <c r="C78" s="7"/>
      <c r="D78" s="7"/>
      <c r="E78" s="7"/>
      <c r="F78" s="7"/>
      <c r="G78" s="194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3:18" x14ac:dyDescent="0.15">
      <c r="C79" s="7"/>
      <c r="D79" s="7"/>
      <c r="E79" s="7"/>
      <c r="F79" s="7"/>
      <c r="G79" s="194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3:18" x14ac:dyDescent="0.15">
      <c r="C80" s="7"/>
      <c r="D80" s="7"/>
      <c r="E80" s="7"/>
      <c r="F80" s="7"/>
      <c r="G80" s="194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3:18" x14ac:dyDescent="0.15">
      <c r="C81" s="7"/>
      <c r="D81" s="7"/>
      <c r="E81" s="7"/>
      <c r="F81" s="7"/>
      <c r="G81" s="194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3:18" x14ac:dyDescent="0.15">
      <c r="C82" s="7"/>
      <c r="D82" s="7"/>
      <c r="E82" s="7"/>
      <c r="F82" s="7"/>
      <c r="G82" s="194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3:18" x14ac:dyDescent="0.15">
      <c r="C83" s="7"/>
      <c r="D83" s="7"/>
      <c r="E83" s="7"/>
      <c r="F83" s="7"/>
      <c r="G83" s="194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3:18" x14ac:dyDescent="0.15">
      <c r="C84" s="7"/>
      <c r="D84" s="7"/>
      <c r="E84" s="7"/>
      <c r="F84" s="7"/>
      <c r="G84" s="194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3:18" x14ac:dyDescent="0.15">
      <c r="C85" s="7"/>
      <c r="D85" s="7"/>
      <c r="E85" s="7"/>
      <c r="F85" s="7"/>
      <c r="G85" s="194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3:18" x14ac:dyDescent="0.15">
      <c r="C86" s="7"/>
      <c r="D86" s="7"/>
      <c r="E86" s="7"/>
      <c r="F86" s="7"/>
      <c r="G86" s="194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3:18" x14ac:dyDescent="0.15">
      <c r="C87" s="7"/>
      <c r="D87" s="7"/>
      <c r="E87" s="7"/>
      <c r="F87" s="7"/>
      <c r="G87" s="194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3:18" x14ac:dyDescent="0.15">
      <c r="C88" s="7"/>
      <c r="D88" s="7"/>
      <c r="E88" s="7"/>
      <c r="F88" s="7"/>
      <c r="G88" s="194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3:18" x14ac:dyDescent="0.15">
      <c r="C89" s="7"/>
      <c r="D89" s="7"/>
      <c r="E89" s="7"/>
      <c r="F89" s="7"/>
      <c r="G89" s="194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3:18" x14ac:dyDescent="0.15">
      <c r="C90" s="7"/>
      <c r="D90" s="7"/>
      <c r="E90" s="7"/>
      <c r="F90" s="7"/>
      <c r="G90" s="194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3:18" x14ac:dyDescent="0.15">
      <c r="C91" s="7"/>
      <c r="D91" s="7"/>
      <c r="E91" s="7"/>
      <c r="F91" s="7"/>
      <c r="G91" s="194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3:18" x14ac:dyDescent="0.15">
      <c r="C92" s="7"/>
      <c r="D92" s="7"/>
      <c r="E92" s="7"/>
      <c r="F92" s="7"/>
      <c r="G92" s="194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3:18" x14ac:dyDescent="0.15">
      <c r="C93" s="7"/>
      <c r="D93" s="7"/>
      <c r="E93" s="7"/>
      <c r="F93" s="7"/>
      <c r="G93" s="194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3:18" x14ac:dyDescent="0.15">
      <c r="C94" s="7"/>
      <c r="D94" s="7"/>
      <c r="E94" s="7"/>
      <c r="F94" s="7"/>
      <c r="G94" s="194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3:18" x14ac:dyDescent="0.15">
      <c r="C95" s="7"/>
      <c r="D95" s="7"/>
      <c r="E95" s="7"/>
      <c r="F95" s="7"/>
      <c r="G95" s="194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3:18" x14ac:dyDescent="0.15">
      <c r="C96" s="7"/>
      <c r="D96" s="7"/>
      <c r="E96" s="7"/>
      <c r="F96" s="7"/>
      <c r="G96" s="194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3:18" x14ac:dyDescent="0.15">
      <c r="C97" s="7"/>
      <c r="D97" s="7"/>
      <c r="E97" s="7"/>
      <c r="F97" s="7"/>
      <c r="G97" s="194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3:18" x14ac:dyDescent="0.15">
      <c r="C98" s="7"/>
      <c r="D98" s="7"/>
      <c r="E98" s="7"/>
      <c r="F98" s="7"/>
      <c r="G98" s="194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3:18" x14ac:dyDescent="0.15">
      <c r="C99" s="7"/>
      <c r="D99" s="7"/>
      <c r="E99" s="7"/>
      <c r="F99" s="7"/>
      <c r="G99" s="194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3:18" x14ac:dyDescent="0.15">
      <c r="C100" s="7"/>
      <c r="D100" s="7"/>
      <c r="E100" s="7"/>
      <c r="F100" s="7"/>
      <c r="G100" s="194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3:18" x14ac:dyDescent="0.15">
      <c r="C101" s="7"/>
      <c r="D101" s="7"/>
      <c r="E101" s="7"/>
      <c r="F101" s="7"/>
      <c r="G101" s="194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3:18" x14ac:dyDescent="0.15">
      <c r="C102" s="7"/>
      <c r="D102" s="7"/>
      <c r="E102" s="7"/>
      <c r="F102" s="7"/>
      <c r="G102" s="194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3:18" x14ac:dyDescent="0.15">
      <c r="C103" s="7"/>
      <c r="D103" s="7"/>
      <c r="E103" s="7"/>
      <c r="F103" s="7"/>
      <c r="G103" s="194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3:18" x14ac:dyDescent="0.15">
      <c r="C104" s="7"/>
      <c r="D104" s="7"/>
      <c r="E104" s="7"/>
      <c r="F104" s="7"/>
      <c r="G104" s="194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3:18" x14ac:dyDescent="0.15">
      <c r="C105" s="7"/>
      <c r="D105" s="7"/>
      <c r="E105" s="7"/>
      <c r="F105" s="7"/>
      <c r="G105" s="194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3:18" x14ac:dyDescent="0.15">
      <c r="C106" s="7"/>
      <c r="D106" s="7"/>
      <c r="E106" s="7"/>
      <c r="F106" s="7"/>
      <c r="G106" s="194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3:18" x14ac:dyDescent="0.15">
      <c r="C107" s="7"/>
      <c r="D107" s="7"/>
      <c r="E107" s="7"/>
      <c r="F107" s="7"/>
      <c r="G107" s="194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3:18" x14ac:dyDescent="0.15">
      <c r="C108" s="7"/>
      <c r="D108" s="7"/>
      <c r="E108" s="7"/>
      <c r="F108" s="7"/>
      <c r="G108" s="194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3:18" x14ac:dyDescent="0.15">
      <c r="C109" s="7"/>
      <c r="D109" s="7"/>
      <c r="E109" s="7"/>
      <c r="F109" s="7"/>
      <c r="G109" s="194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3:18" x14ac:dyDescent="0.15">
      <c r="C110" s="7"/>
      <c r="D110" s="7"/>
      <c r="E110" s="7"/>
      <c r="F110" s="7"/>
      <c r="G110" s="194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3:18" x14ac:dyDescent="0.15">
      <c r="C111" s="7"/>
      <c r="D111" s="7"/>
      <c r="E111" s="7"/>
      <c r="F111" s="7"/>
      <c r="G111" s="194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3:18" x14ac:dyDescent="0.15">
      <c r="C112" s="7"/>
      <c r="D112" s="7"/>
      <c r="E112" s="7"/>
      <c r="F112" s="7"/>
      <c r="G112" s="194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3:18" x14ac:dyDescent="0.15">
      <c r="C113" s="7"/>
      <c r="D113" s="7"/>
      <c r="E113" s="7"/>
      <c r="F113" s="7"/>
      <c r="G113" s="194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3:18" x14ac:dyDescent="0.15">
      <c r="C114" s="7"/>
      <c r="D114" s="7"/>
      <c r="E114" s="7"/>
      <c r="F114" s="7"/>
      <c r="G114" s="194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3:18" x14ac:dyDescent="0.15">
      <c r="C115" s="7"/>
      <c r="D115" s="7"/>
      <c r="E115" s="7"/>
      <c r="F115" s="7"/>
      <c r="G115" s="194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3:18" x14ac:dyDescent="0.15">
      <c r="C116" s="7"/>
      <c r="D116" s="7"/>
      <c r="E116" s="7"/>
      <c r="F116" s="7"/>
      <c r="G116" s="194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3:18" x14ac:dyDescent="0.15">
      <c r="C117" s="7"/>
      <c r="D117" s="7"/>
      <c r="E117" s="7"/>
      <c r="F117" s="7"/>
      <c r="G117" s="194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3:18" x14ac:dyDescent="0.15">
      <c r="C118" s="7"/>
      <c r="D118" s="7"/>
      <c r="E118" s="7"/>
      <c r="F118" s="7"/>
      <c r="G118" s="194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3:18" x14ac:dyDescent="0.15">
      <c r="C119" s="7"/>
      <c r="D119" s="7"/>
      <c r="E119" s="7"/>
      <c r="F119" s="7"/>
      <c r="G119" s="194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3:18" x14ac:dyDescent="0.15">
      <c r="C120" s="7"/>
      <c r="D120" s="7"/>
      <c r="E120" s="7"/>
      <c r="F120" s="7"/>
      <c r="G120" s="194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3:18" x14ac:dyDescent="0.15">
      <c r="C121" s="7"/>
      <c r="D121" s="7"/>
      <c r="E121" s="7"/>
      <c r="F121" s="7"/>
      <c r="G121" s="194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3:18" x14ac:dyDescent="0.15">
      <c r="C122" s="7"/>
      <c r="D122" s="7"/>
      <c r="E122" s="7"/>
      <c r="F122" s="7"/>
      <c r="G122" s="194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3:18" x14ac:dyDescent="0.15">
      <c r="C123" s="7"/>
      <c r="D123" s="7"/>
      <c r="E123" s="7"/>
      <c r="F123" s="7"/>
      <c r="G123" s="194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3:18" x14ac:dyDescent="0.15">
      <c r="C124" s="7"/>
      <c r="D124" s="7"/>
      <c r="E124" s="7"/>
      <c r="F124" s="7"/>
      <c r="G124" s="194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3:18" x14ac:dyDescent="0.15">
      <c r="C125" s="7"/>
      <c r="D125" s="7"/>
      <c r="E125" s="7"/>
      <c r="F125" s="7"/>
      <c r="G125" s="194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3:18" x14ac:dyDescent="0.15">
      <c r="C126" s="7"/>
      <c r="D126" s="7"/>
      <c r="E126" s="7"/>
      <c r="F126" s="7"/>
      <c r="G126" s="194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3:18" x14ac:dyDescent="0.15">
      <c r="C127" s="7"/>
      <c r="D127" s="7"/>
      <c r="E127" s="7"/>
      <c r="F127" s="7"/>
      <c r="G127" s="194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3:18" x14ac:dyDescent="0.15">
      <c r="C128" s="7"/>
      <c r="D128" s="7"/>
      <c r="E128" s="7"/>
      <c r="F128" s="7"/>
      <c r="G128" s="194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3:18" x14ac:dyDescent="0.15">
      <c r="C129" s="7"/>
      <c r="D129" s="7"/>
      <c r="E129" s="7"/>
      <c r="F129" s="7"/>
      <c r="G129" s="194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3:18" x14ac:dyDescent="0.15">
      <c r="C130" s="7"/>
      <c r="D130" s="7"/>
      <c r="E130" s="7"/>
      <c r="F130" s="7"/>
      <c r="G130" s="194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3:18" x14ac:dyDescent="0.15">
      <c r="C131" s="7"/>
      <c r="D131" s="7"/>
      <c r="E131" s="7"/>
      <c r="F131" s="7"/>
      <c r="G131" s="194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3:18" x14ac:dyDescent="0.15">
      <c r="C132" s="7"/>
      <c r="D132" s="7"/>
      <c r="E132" s="7"/>
      <c r="F132" s="7"/>
      <c r="G132" s="194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3:18" x14ac:dyDescent="0.15">
      <c r="C133" s="7"/>
      <c r="D133" s="7"/>
      <c r="E133" s="7"/>
      <c r="F133" s="7"/>
      <c r="G133" s="194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3:18" x14ac:dyDescent="0.15">
      <c r="C134" s="7"/>
      <c r="D134" s="7"/>
      <c r="E134" s="7"/>
      <c r="F134" s="7"/>
      <c r="G134" s="194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3:18" x14ac:dyDescent="0.15">
      <c r="C135" s="7"/>
      <c r="D135" s="7"/>
      <c r="E135" s="7"/>
      <c r="F135" s="7"/>
      <c r="G135" s="194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3:18" x14ac:dyDescent="0.15">
      <c r="C136" s="7"/>
      <c r="D136" s="7"/>
      <c r="E136" s="7"/>
      <c r="F136" s="7"/>
      <c r="G136" s="194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3:18" x14ac:dyDescent="0.15">
      <c r="C137" s="7"/>
      <c r="D137" s="7"/>
      <c r="E137" s="7"/>
      <c r="F137" s="7"/>
      <c r="G137" s="194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3:18" x14ac:dyDescent="0.15">
      <c r="C138" s="7"/>
      <c r="D138" s="7"/>
      <c r="E138" s="7"/>
      <c r="F138" s="7"/>
      <c r="G138" s="194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3:18" x14ac:dyDescent="0.15">
      <c r="C139" s="7"/>
      <c r="D139" s="7"/>
      <c r="E139" s="7"/>
      <c r="F139" s="7"/>
      <c r="G139" s="194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3:18" x14ac:dyDescent="0.15">
      <c r="C140" s="7"/>
      <c r="D140" s="7"/>
      <c r="E140" s="7"/>
      <c r="F140" s="7"/>
      <c r="G140" s="194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3:18" x14ac:dyDescent="0.15">
      <c r="C141" s="7"/>
      <c r="D141" s="7"/>
      <c r="E141" s="7"/>
      <c r="F141" s="7"/>
      <c r="G141" s="194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3:18" x14ac:dyDescent="0.15">
      <c r="C142" s="7"/>
      <c r="D142" s="7"/>
      <c r="E142" s="7"/>
      <c r="F142" s="7"/>
      <c r="G142" s="194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3:18" x14ac:dyDescent="0.15">
      <c r="C143" s="7"/>
      <c r="D143" s="7"/>
      <c r="E143" s="7"/>
      <c r="F143" s="7"/>
      <c r="G143" s="194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3:18" x14ac:dyDescent="0.15">
      <c r="C144" s="7"/>
      <c r="D144" s="7"/>
      <c r="E144" s="7"/>
      <c r="F144" s="7"/>
      <c r="G144" s="19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3:18" x14ac:dyDescent="0.15">
      <c r="C145" s="7"/>
      <c r="D145" s="7"/>
      <c r="E145" s="7"/>
      <c r="F145" s="7"/>
      <c r="G145" s="194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3:18" x14ac:dyDescent="0.15">
      <c r="C146" s="7"/>
      <c r="D146" s="7"/>
      <c r="E146" s="7"/>
      <c r="F146" s="7"/>
      <c r="G146" s="194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3:18" x14ac:dyDescent="0.15">
      <c r="C147" s="7"/>
      <c r="D147" s="7"/>
      <c r="E147" s="7"/>
      <c r="F147" s="7"/>
      <c r="G147" s="194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3:18" x14ac:dyDescent="0.15">
      <c r="C148" s="7"/>
      <c r="D148" s="7"/>
      <c r="E148" s="7"/>
      <c r="F148" s="7"/>
      <c r="G148" s="194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3:18" x14ac:dyDescent="0.15">
      <c r="C149" s="7"/>
      <c r="D149" s="7"/>
      <c r="E149" s="7"/>
      <c r="F149" s="7"/>
      <c r="G149" s="194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3:18" x14ac:dyDescent="0.15">
      <c r="C150" s="7"/>
      <c r="D150" s="7"/>
      <c r="E150" s="7"/>
      <c r="F150" s="7"/>
      <c r="G150" s="194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3:18" x14ac:dyDescent="0.15">
      <c r="C151" s="7"/>
      <c r="D151" s="7"/>
      <c r="E151" s="7"/>
      <c r="F151" s="7"/>
      <c r="G151" s="194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3:18" x14ac:dyDescent="0.15">
      <c r="C152" s="7"/>
      <c r="D152" s="7"/>
      <c r="E152" s="7"/>
      <c r="F152" s="7"/>
      <c r="G152" s="194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3:18" x14ac:dyDescent="0.15">
      <c r="C153" s="7"/>
      <c r="D153" s="7"/>
      <c r="E153" s="7"/>
      <c r="F153" s="7"/>
      <c r="G153" s="194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3:18" x14ac:dyDescent="0.15">
      <c r="C154" s="7"/>
      <c r="D154" s="7"/>
      <c r="E154" s="7"/>
      <c r="F154" s="7"/>
      <c r="G154" s="194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3:18" x14ac:dyDescent="0.15">
      <c r="C155" s="7"/>
      <c r="D155" s="7"/>
      <c r="E155" s="7"/>
      <c r="F155" s="7"/>
      <c r="G155" s="194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3:18" x14ac:dyDescent="0.15">
      <c r="C156" s="7"/>
      <c r="D156" s="7"/>
      <c r="E156" s="7"/>
      <c r="F156" s="7"/>
      <c r="G156" s="194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3:18" x14ac:dyDescent="0.15">
      <c r="C157" s="7"/>
      <c r="D157" s="7"/>
      <c r="E157" s="7"/>
      <c r="F157" s="7"/>
      <c r="G157" s="194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3:18" x14ac:dyDescent="0.15">
      <c r="C158" s="7"/>
      <c r="D158" s="7"/>
      <c r="E158" s="7"/>
      <c r="F158" s="7"/>
      <c r="G158" s="194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3:18" x14ac:dyDescent="0.15">
      <c r="C159" s="7"/>
      <c r="D159" s="7"/>
      <c r="E159" s="7"/>
      <c r="F159" s="7"/>
      <c r="G159" s="194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</sheetData>
  <mergeCells count="7">
    <mergeCell ref="A7:G7"/>
    <mergeCell ref="B6:E6"/>
    <mergeCell ref="C1:G1"/>
    <mergeCell ref="A2:G2"/>
    <mergeCell ref="A3:G3"/>
    <mergeCell ref="A4:G4"/>
    <mergeCell ref="A5:G5"/>
  </mergeCells>
  <phoneticPr fontId="11" type="noConversion"/>
  <pageMargins left="0.75" right="0.75" top="1" bottom="1" header="0.5" footer="0.5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Z128"/>
  <sheetViews>
    <sheetView view="pageBreakPreview" zoomScale="120" zoomScaleNormal="130" zoomScaleSheetLayoutView="120" zoomScalePageLayoutView="130" workbookViewId="0">
      <selection activeCell="B1" sqref="B1"/>
    </sheetView>
  </sheetViews>
  <sheetFormatPr baseColWidth="10" defaultColWidth="9.1640625" defaultRowHeight="13" x14ac:dyDescent="0.15"/>
  <cols>
    <col min="1" max="1" width="3.6640625" style="194" customWidth="1"/>
    <col min="2" max="2" width="25.6640625" style="194" customWidth="1"/>
    <col min="3" max="3" width="13.33203125" style="194" customWidth="1"/>
    <col min="4" max="4" width="15.83203125" style="354" customWidth="1"/>
    <col min="5" max="5" width="2.1640625" style="194" customWidth="1"/>
    <col min="6" max="6" width="15.5" style="194" customWidth="1"/>
    <col min="7" max="7" width="3.5" style="194" customWidth="1"/>
    <col min="8" max="9" width="15.5" style="194" customWidth="1"/>
    <col min="10" max="10" width="10.5" style="255" customWidth="1"/>
    <col min="11" max="11" width="8.6640625" style="255" customWidth="1"/>
    <col min="12" max="12" width="24.5" style="194" bestFit="1" customWidth="1"/>
    <col min="13" max="13" width="9.6640625" style="194" bestFit="1" customWidth="1"/>
    <col min="14" max="16384" width="9.1640625" style="194"/>
  </cols>
  <sheetData>
    <row r="1" spans="1:26" x14ac:dyDescent="0.15">
      <c r="D1" s="194"/>
    </row>
    <row r="2" spans="1:26" x14ac:dyDescent="0.15">
      <c r="B2" s="395" t="s">
        <v>1</v>
      </c>
      <c r="C2" s="396"/>
      <c r="D2" s="396"/>
      <c r="E2" s="396"/>
      <c r="F2" s="396"/>
      <c r="G2" s="396"/>
      <c r="H2" s="396"/>
      <c r="I2" s="396"/>
    </row>
    <row r="3" spans="1:26" x14ac:dyDescent="0.15">
      <c r="B3" s="397" t="s">
        <v>218</v>
      </c>
      <c r="C3" s="396"/>
      <c r="D3" s="396"/>
      <c r="E3" s="396"/>
      <c r="F3" s="396"/>
      <c r="G3" s="396"/>
      <c r="H3" s="396"/>
      <c r="I3" s="396"/>
    </row>
    <row r="4" spans="1:26" x14ac:dyDescent="0.15">
      <c r="B4" s="395" t="s">
        <v>135</v>
      </c>
      <c r="C4" s="396"/>
      <c r="D4" s="396"/>
      <c r="E4" s="396"/>
      <c r="F4" s="396"/>
      <c r="G4" s="396"/>
      <c r="H4" s="396"/>
      <c r="I4" s="396"/>
      <c r="J4" s="285"/>
      <c r="K4" s="285"/>
      <c r="L4" s="286"/>
      <c r="M4" s="286"/>
      <c r="N4" s="286"/>
      <c r="O4" s="286"/>
      <c r="P4" s="286"/>
      <c r="Q4" s="286"/>
    </row>
    <row r="5" spans="1:26" x14ac:dyDescent="0.15">
      <c r="B5" s="399" t="s">
        <v>344</v>
      </c>
      <c r="C5" s="396"/>
      <c r="D5" s="396"/>
      <c r="E5" s="396"/>
      <c r="F5" s="396"/>
      <c r="G5" s="396"/>
      <c r="H5" s="396"/>
      <c r="I5" s="396"/>
      <c r="J5" s="285"/>
      <c r="K5" s="285"/>
      <c r="L5" s="286"/>
      <c r="M5" s="286"/>
      <c r="N5" s="286"/>
      <c r="O5" s="286"/>
      <c r="P5" s="286"/>
      <c r="Q5" s="286"/>
    </row>
    <row r="6" spans="1:26" ht="6" customHeight="1" x14ac:dyDescent="0.15">
      <c r="C6" s="287"/>
      <c r="D6" s="194"/>
      <c r="E6" s="288"/>
      <c r="H6" s="287"/>
      <c r="I6" s="287"/>
      <c r="J6" s="285"/>
      <c r="K6" s="285"/>
      <c r="L6" s="286"/>
      <c r="M6" s="286"/>
      <c r="N6" s="286"/>
      <c r="O6" s="286"/>
      <c r="P6" s="286"/>
      <c r="Q6" s="286"/>
    </row>
    <row r="7" spans="1:26" x14ac:dyDescent="0.15">
      <c r="B7" s="403" t="s">
        <v>289</v>
      </c>
      <c r="C7" s="401"/>
      <c r="D7" s="401"/>
      <c r="E7" s="401"/>
      <c r="F7" s="401"/>
      <c r="G7" s="401"/>
      <c r="H7" s="401"/>
      <c r="I7" s="401"/>
      <c r="J7" s="285"/>
      <c r="K7" s="285"/>
      <c r="L7" s="286"/>
      <c r="M7" s="286"/>
      <c r="N7" s="286"/>
      <c r="O7" s="286"/>
      <c r="P7" s="286"/>
      <c r="Q7" s="286"/>
    </row>
    <row r="8" spans="1:26" x14ac:dyDescent="0.15">
      <c r="B8" s="289"/>
      <c r="C8" s="290"/>
      <c r="D8" s="360"/>
      <c r="E8" s="291"/>
      <c r="F8" s="290"/>
      <c r="G8" s="289"/>
      <c r="H8" s="291"/>
      <c r="I8" s="291"/>
      <c r="J8" s="285"/>
      <c r="K8" s="285"/>
      <c r="L8" s="286"/>
      <c r="M8" s="286"/>
      <c r="N8" s="286"/>
      <c r="O8" s="286"/>
      <c r="P8" s="286"/>
      <c r="Q8" s="286"/>
    </row>
    <row r="9" spans="1:26" x14ac:dyDescent="0.15">
      <c r="B9" s="195"/>
      <c r="C9" s="292"/>
      <c r="D9" s="357">
        <v>2016</v>
      </c>
      <c r="E9" s="196"/>
      <c r="F9" s="31" t="s">
        <v>146</v>
      </c>
      <c r="G9" s="283"/>
      <c r="H9" s="196"/>
      <c r="I9" s="196" t="s">
        <v>167</v>
      </c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</row>
    <row r="10" spans="1:26" x14ac:dyDescent="0.15">
      <c r="B10" s="195"/>
      <c r="C10" s="292"/>
      <c r="D10" s="357" t="s">
        <v>37</v>
      </c>
      <c r="E10" s="196"/>
      <c r="F10" s="335" t="s">
        <v>184</v>
      </c>
      <c r="G10" s="283"/>
      <c r="H10" s="196" t="s">
        <v>38</v>
      </c>
      <c r="I10" s="196" t="s">
        <v>146</v>
      </c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</row>
    <row r="11" spans="1:26" x14ac:dyDescent="0.15">
      <c r="B11" s="195" t="s">
        <v>150</v>
      </c>
      <c r="C11" s="293"/>
      <c r="D11" s="197" t="s">
        <v>39</v>
      </c>
      <c r="E11" s="197"/>
      <c r="F11" s="99">
        <f>'change in net assets'!F11</f>
        <v>42704</v>
      </c>
      <c r="G11" s="294"/>
      <c r="H11" s="197" t="s">
        <v>39</v>
      </c>
      <c r="I11" s="336">
        <f>'change in net assets'!G11</f>
        <v>42338</v>
      </c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</row>
    <row r="12" spans="1:26" x14ac:dyDescent="0.15">
      <c r="A12" s="194">
        <v>1</v>
      </c>
      <c r="B12" s="295" t="s">
        <v>22</v>
      </c>
      <c r="C12" s="296"/>
      <c r="D12" s="198">
        <v>1287555</v>
      </c>
      <c r="E12" s="198"/>
      <c r="F12" s="202">
        <f>1354222.19-136788.63</f>
        <v>1217433.56</v>
      </c>
      <c r="G12" s="198"/>
      <c r="H12" s="198">
        <f>+D12-F12</f>
        <v>70121.439999999944</v>
      </c>
      <c r="I12" s="198">
        <v>1145210</v>
      </c>
      <c r="J12" s="234"/>
      <c r="K12" s="234"/>
      <c r="L12" s="298"/>
      <c r="M12" s="277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</row>
    <row r="13" spans="1:26" x14ac:dyDescent="0.15">
      <c r="A13" s="194">
        <v>2</v>
      </c>
      <c r="B13" s="295" t="s">
        <v>30</v>
      </c>
      <c r="C13" s="293"/>
      <c r="D13" s="199">
        <v>0</v>
      </c>
      <c r="E13" s="199"/>
      <c r="F13" s="133">
        <v>4167.91</v>
      </c>
      <c r="G13" s="199"/>
      <c r="H13" s="199">
        <f>+D13-F13</f>
        <v>-4167.91</v>
      </c>
      <c r="I13" s="199">
        <v>9151</v>
      </c>
      <c r="J13" s="205"/>
      <c r="K13" s="205"/>
      <c r="L13" s="299"/>
      <c r="M13" s="277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</row>
    <row r="14" spans="1:26" x14ac:dyDescent="0.15">
      <c r="A14" s="194">
        <v>3</v>
      </c>
      <c r="B14" s="251" t="s">
        <v>158</v>
      </c>
      <c r="C14" s="293"/>
      <c r="D14" s="199">
        <v>0</v>
      </c>
      <c r="E14" s="199"/>
      <c r="F14" s="133">
        <f>6318.03-733.11-758.15</f>
        <v>4826.7700000000004</v>
      </c>
      <c r="G14" s="199"/>
      <c r="H14" s="199">
        <f t="shared" ref="H14:H21" si="0">+D14-F14</f>
        <v>-4826.7700000000004</v>
      </c>
      <c r="I14" s="199">
        <v>4657</v>
      </c>
      <c r="J14" s="205"/>
      <c r="K14" s="205"/>
      <c r="L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</row>
    <row r="15" spans="1:26" x14ac:dyDescent="0.15">
      <c r="A15" s="194">
        <v>4</v>
      </c>
      <c r="B15" s="251" t="s">
        <v>143</v>
      </c>
      <c r="C15" s="293"/>
      <c r="D15" s="199">
        <v>0</v>
      </c>
      <c r="E15" s="199"/>
      <c r="F15" s="133">
        <v>-1562.98</v>
      </c>
      <c r="G15" s="199"/>
      <c r="H15" s="199">
        <f t="shared" si="0"/>
        <v>1562.98</v>
      </c>
      <c r="I15" s="199">
        <v>1023</v>
      </c>
      <c r="J15" s="205"/>
      <c r="K15" s="205"/>
      <c r="L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</row>
    <row r="16" spans="1:26" x14ac:dyDescent="0.15">
      <c r="B16" s="251" t="s">
        <v>159</v>
      </c>
      <c r="C16" s="293"/>
      <c r="D16" s="199">
        <v>0</v>
      </c>
      <c r="E16" s="199"/>
      <c r="F16" s="133">
        <f>1108.41-133.02</f>
        <v>975.3900000000001</v>
      </c>
      <c r="G16" s="199"/>
      <c r="H16" s="199">
        <f t="shared" si="0"/>
        <v>-975.3900000000001</v>
      </c>
      <c r="I16" s="199">
        <v>789</v>
      </c>
      <c r="J16" s="205"/>
      <c r="K16" s="205"/>
      <c r="L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</row>
    <row r="17" spans="1:26" x14ac:dyDescent="0.15">
      <c r="A17" s="194">
        <v>5</v>
      </c>
      <c r="B17" s="234" t="s">
        <v>163</v>
      </c>
      <c r="C17" s="293"/>
      <c r="D17" s="199">
        <v>10614</v>
      </c>
      <c r="E17" s="199"/>
      <c r="F17" s="133">
        <v>7500</v>
      </c>
      <c r="G17" s="199"/>
      <c r="H17" s="199">
        <f t="shared" si="0"/>
        <v>3114</v>
      </c>
      <c r="I17" s="199">
        <v>0</v>
      </c>
      <c r="J17" s="205"/>
      <c r="K17" s="205"/>
      <c r="L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</row>
    <row r="18" spans="1:26" ht="13" customHeight="1" x14ac:dyDescent="0.15">
      <c r="A18" s="194">
        <v>6</v>
      </c>
      <c r="B18" s="300" t="s">
        <v>173</v>
      </c>
      <c r="C18" s="293"/>
      <c r="D18" s="199">
        <v>47015</v>
      </c>
      <c r="E18" s="199"/>
      <c r="F18" s="133">
        <v>47015</v>
      </c>
      <c r="G18" s="199"/>
      <c r="H18" s="199">
        <f t="shared" si="0"/>
        <v>0</v>
      </c>
      <c r="I18" s="199">
        <v>0</v>
      </c>
      <c r="J18" s="124"/>
      <c r="K18" s="205"/>
      <c r="L18" s="299"/>
      <c r="M18" s="277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</row>
    <row r="19" spans="1:26" ht="12.5" customHeight="1" x14ac:dyDescent="0.15">
      <c r="A19" s="194">
        <v>7</v>
      </c>
      <c r="B19" s="300" t="s">
        <v>342</v>
      </c>
      <c r="C19" s="293"/>
      <c r="D19" s="199">
        <v>0</v>
      </c>
      <c r="E19" s="199"/>
      <c r="F19" s="133">
        <f>15362.48-1843.49</f>
        <v>13518.99</v>
      </c>
      <c r="G19" s="199"/>
      <c r="H19" s="199">
        <f t="shared" si="0"/>
        <v>-13518.99</v>
      </c>
      <c r="I19" s="199">
        <v>0</v>
      </c>
      <c r="L19" s="124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</row>
    <row r="20" spans="1:26" x14ac:dyDescent="0.15">
      <c r="A20" s="194">
        <v>8</v>
      </c>
      <c r="B20" s="300" t="s">
        <v>178</v>
      </c>
      <c r="C20" s="180"/>
      <c r="D20" s="133">
        <v>0</v>
      </c>
      <c r="E20" s="133"/>
      <c r="F20" s="133">
        <v>0</v>
      </c>
      <c r="G20" s="301"/>
      <c r="H20" s="133">
        <f t="shared" si="0"/>
        <v>0</v>
      </c>
      <c r="I20" s="133">
        <v>0</v>
      </c>
      <c r="J20" s="302"/>
      <c r="K20" s="302"/>
      <c r="L20" s="188"/>
      <c r="M20" s="188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205"/>
      <c r="Z20" s="205"/>
    </row>
    <row r="21" spans="1:26" x14ac:dyDescent="0.15">
      <c r="B21" s="300" t="s">
        <v>198</v>
      </c>
      <c r="C21" s="180"/>
      <c r="D21" s="200">
        <v>0</v>
      </c>
      <c r="E21" s="133"/>
      <c r="F21" s="200">
        <v>2572.35</v>
      </c>
      <c r="G21" s="301"/>
      <c r="H21" s="200">
        <f t="shared" si="0"/>
        <v>-2572.35</v>
      </c>
      <c r="I21" s="200">
        <v>0</v>
      </c>
      <c r="J21" s="302"/>
      <c r="K21" s="302"/>
      <c r="L21" s="188"/>
      <c r="M21" s="188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205"/>
      <c r="Z21" s="205"/>
    </row>
    <row r="22" spans="1:26" x14ac:dyDescent="0.15">
      <c r="B22" s="195" t="s">
        <v>155</v>
      </c>
      <c r="C22" s="292"/>
      <c r="D22" s="201">
        <f>SUM(D12:D21)</f>
        <v>1345184</v>
      </c>
      <c r="E22" s="201"/>
      <c r="F22" s="201">
        <f>SUM(F12:F21)</f>
        <v>1296446.99</v>
      </c>
      <c r="G22" s="303"/>
      <c r="H22" s="201">
        <f>SUM(H12:H21)</f>
        <v>48737.009999999944</v>
      </c>
      <c r="I22" s="201">
        <f>SUM(I12:I21)</f>
        <v>1160830</v>
      </c>
      <c r="J22" s="302"/>
      <c r="K22" s="302"/>
      <c r="L22" s="304"/>
      <c r="M22" s="188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205"/>
      <c r="Z22" s="205"/>
    </row>
    <row r="23" spans="1:26" x14ac:dyDescent="0.15">
      <c r="B23" s="195"/>
      <c r="C23" s="192"/>
      <c r="D23" s="133"/>
      <c r="E23" s="133"/>
      <c r="F23" s="133"/>
      <c r="G23" s="133"/>
      <c r="H23" s="133"/>
      <c r="I23" s="133"/>
      <c r="J23" s="302"/>
      <c r="K23" s="302"/>
      <c r="L23" s="188"/>
      <c r="M23" s="188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205"/>
      <c r="Z23" s="205"/>
    </row>
    <row r="24" spans="1:26" x14ac:dyDescent="0.15">
      <c r="B24" s="195" t="s">
        <v>23</v>
      </c>
      <c r="C24" s="305"/>
      <c r="D24" s="133"/>
      <c r="E24" s="133"/>
      <c r="F24" s="133"/>
      <c r="G24" s="133"/>
      <c r="H24" s="133"/>
      <c r="I24" s="133"/>
      <c r="J24" s="302"/>
      <c r="K24" s="302"/>
      <c r="L24" s="188"/>
      <c r="M24" s="188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205"/>
      <c r="Z24" s="205"/>
    </row>
    <row r="25" spans="1:26" x14ac:dyDescent="0.15">
      <c r="A25" s="194">
        <v>1</v>
      </c>
      <c r="B25" s="295" t="s">
        <v>24</v>
      </c>
      <c r="C25" s="305"/>
      <c r="D25" s="202">
        <f>+'Admin vs Prog'!C23</f>
        <v>561865</v>
      </c>
      <c r="E25" s="202"/>
      <c r="F25" s="202">
        <f>+'Admin vs Prog'!D23</f>
        <v>600754.26</v>
      </c>
      <c r="G25" s="202"/>
      <c r="H25" s="198">
        <f t="shared" ref="H25:H35" si="1">+D25-F25</f>
        <v>-38889.260000000009</v>
      </c>
      <c r="I25" s="198">
        <v>521353.45</v>
      </c>
      <c r="J25" s="306"/>
      <c r="K25" s="307"/>
      <c r="L25" s="188"/>
      <c r="M25" s="188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205"/>
      <c r="Z25" s="205"/>
    </row>
    <row r="26" spans="1:26" x14ac:dyDescent="0.15">
      <c r="A26" s="194">
        <v>2</v>
      </c>
      <c r="B26" s="295" t="s">
        <v>25</v>
      </c>
      <c r="C26" s="305"/>
      <c r="D26" s="133">
        <f>'Admin vs Prog'!C20</f>
        <v>12370</v>
      </c>
      <c r="E26" s="133"/>
      <c r="F26" s="133">
        <f>'Admin vs Prog'!D20</f>
        <v>12779.57</v>
      </c>
      <c r="G26" s="133"/>
      <c r="H26" s="199">
        <f t="shared" si="1"/>
        <v>-409.56999999999971</v>
      </c>
      <c r="I26" s="199">
        <v>9305</v>
      </c>
      <c r="J26" s="306"/>
      <c r="K26" s="307"/>
      <c r="L26" s="188"/>
      <c r="M26" s="188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205"/>
      <c r="Z26" s="205"/>
    </row>
    <row r="27" spans="1:26" x14ac:dyDescent="0.15">
      <c r="A27" s="194">
        <v>3</v>
      </c>
      <c r="B27" s="295" t="s">
        <v>26</v>
      </c>
      <c r="C27" s="305"/>
      <c r="D27" s="133">
        <f>'Admin vs Prog'!C31</f>
        <v>30000</v>
      </c>
      <c r="E27" s="133"/>
      <c r="F27" s="133">
        <f>'Admin vs Prog'!D31</f>
        <v>11739.089999999998</v>
      </c>
      <c r="G27" s="133"/>
      <c r="H27" s="199">
        <f t="shared" si="1"/>
        <v>18260.910000000003</v>
      </c>
      <c r="I27" s="308">
        <v>22408</v>
      </c>
      <c r="J27" s="306"/>
      <c r="K27" s="307"/>
      <c r="L27" s="188"/>
      <c r="M27" s="188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205"/>
      <c r="Z27" s="205"/>
    </row>
    <row r="28" spans="1:26" x14ac:dyDescent="0.15">
      <c r="A28" s="194">
        <v>4</v>
      </c>
      <c r="B28" s="295" t="s">
        <v>27</v>
      </c>
      <c r="C28" s="305"/>
      <c r="D28" s="133">
        <f>'Admin vs Prog'!C43</f>
        <v>65200</v>
      </c>
      <c r="E28" s="133"/>
      <c r="F28" s="133">
        <f>'Admin vs Prog'!D43</f>
        <v>69640.909999999989</v>
      </c>
      <c r="G28" s="133"/>
      <c r="H28" s="199">
        <f t="shared" si="1"/>
        <v>-4440.9099999999889</v>
      </c>
      <c r="I28" s="199">
        <v>78892</v>
      </c>
      <c r="J28" s="306"/>
      <c r="K28" s="307"/>
      <c r="L28" s="188"/>
      <c r="M28" s="188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205"/>
      <c r="Z28" s="205"/>
    </row>
    <row r="29" spans="1:26" x14ac:dyDescent="0.15">
      <c r="A29" s="194">
        <v>5</v>
      </c>
      <c r="B29" s="295" t="s">
        <v>152</v>
      </c>
      <c r="C29" s="305"/>
      <c r="D29" s="133">
        <f>+'Admin vs Prog'!C51</f>
        <v>10000</v>
      </c>
      <c r="E29" s="133"/>
      <c r="F29" s="133">
        <f>+'Admin vs Prog'!D51</f>
        <v>2752.88</v>
      </c>
      <c r="G29" s="133"/>
      <c r="H29" s="199">
        <f t="shared" si="1"/>
        <v>7247.12</v>
      </c>
      <c r="I29" s="199">
        <v>4534</v>
      </c>
      <c r="J29" s="306"/>
      <c r="K29" s="307"/>
      <c r="L29" s="188"/>
      <c r="M29" s="188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205"/>
      <c r="Z29" s="205"/>
    </row>
    <row r="30" spans="1:26" x14ac:dyDescent="0.15">
      <c r="A30" s="194">
        <v>6</v>
      </c>
      <c r="B30" s="300" t="s">
        <v>199</v>
      </c>
      <c r="C30" s="305"/>
      <c r="D30" s="133">
        <f>+'Admin vs Prog'!C53</f>
        <v>350367</v>
      </c>
      <c r="E30" s="133"/>
      <c r="F30" s="133">
        <f>+'Admin vs Prog'!D53</f>
        <v>176650</v>
      </c>
      <c r="G30" s="327"/>
      <c r="H30" s="199">
        <f t="shared" si="1"/>
        <v>173717</v>
      </c>
      <c r="I30" s="199">
        <v>320951.45</v>
      </c>
      <c r="J30" s="308"/>
      <c r="K30" s="307"/>
      <c r="L30" s="188"/>
      <c r="M30" s="188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205"/>
      <c r="Z30" s="205"/>
    </row>
    <row r="31" spans="1:26" x14ac:dyDescent="0.15">
      <c r="A31" s="194">
        <v>7</v>
      </c>
      <c r="B31" s="300" t="s">
        <v>200</v>
      </c>
      <c r="C31" s="305"/>
      <c r="D31" s="133">
        <f>+'Admin vs Prog'!C54</f>
        <v>150000</v>
      </c>
      <c r="E31" s="133"/>
      <c r="F31" s="133">
        <f>'Admin vs Prog'!D54</f>
        <v>65000</v>
      </c>
      <c r="G31" s="327"/>
      <c r="H31" s="199">
        <f t="shared" si="1"/>
        <v>85000</v>
      </c>
      <c r="I31" s="199">
        <v>135753.4</v>
      </c>
      <c r="J31" s="306"/>
      <c r="K31" s="307"/>
      <c r="L31" s="188"/>
      <c r="M31" s="188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205"/>
      <c r="Z31" s="205"/>
    </row>
    <row r="32" spans="1:26" x14ac:dyDescent="0.15">
      <c r="A32" s="194">
        <v>8</v>
      </c>
      <c r="B32" s="295" t="s">
        <v>28</v>
      </c>
      <c r="C32" s="305"/>
      <c r="D32" s="133">
        <f>+'Admin vs Prog'!C55</f>
        <v>165382</v>
      </c>
      <c r="E32" s="133"/>
      <c r="F32" s="133">
        <f>+'Admin vs Prog'!D55</f>
        <v>57689.02</v>
      </c>
      <c r="G32" s="133"/>
      <c r="H32" s="199">
        <f t="shared" si="1"/>
        <v>107692.98000000001</v>
      </c>
      <c r="I32" s="199">
        <v>58047.199999999997</v>
      </c>
      <c r="J32" s="309"/>
      <c r="K32" s="307"/>
      <c r="L32" s="188"/>
      <c r="M32" s="188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205"/>
      <c r="Z32" s="205"/>
    </row>
    <row r="33" spans="1:26" x14ac:dyDescent="0.15">
      <c r="A33" s="194">
        <v>10</v>
      </c>
      <c r="B33" s="300" t="s">
        <v>107</v>
      </c>
      <c r="C33" s="305"/>
      <c r="D33" s="133">
        <f>'Admin vs Prog'!C56</f>
        <v>0.01</v>
      </c>
      <c r="E33" s="133"/>
      <c r="F33" s="133">
        <f>'Admin vs Prog'!D56</f>
        <v>-20000</v>
      </c>
      <c r="G33" s="133"/>
      <c r="H33" s="199">
        <f t="shared" si="1"/>
        <v>20000.009999999998</v>
      </c>
      <c r="I33" s="199">
        <v>-87500</v>
      </c>
      <c r="J33" s="309"/>
      <c r="K33" s="307"/>
      <c r="L33" s="188"/>
      <c r="M33" s="188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205"/>
      <c r="Z33" s="205"/>
    </row>
    <row r="34" spans="1:26" x14ac:dyDescent="0.15">
      <c r="B34" s="195" t="s">
        <v>29</v>
      </c>
      <c r="C34" s="305"/>
      <c r="D34" s="310">
        <f>SUM(D25:D33)</f>
        <v>1345184.01</v>
      </c>
      <c r="E34" s="201"/>
      <c r="F34" s="310">
        <f>SUM(F25:F33)</f>
        <v>977005.73</v>
      </c>
      <c r="G34" s="201"/>
      <c r="H34" s="310">
        <f>SUM(H25:H33)</f>
        <v>368178.28</v>
      </c>
      <c r="I34" s="310">
        <f>SUM(I24:I33)</f>
        <v>1063744.4999999998</v>
      </c>
      <c r="J34" s="302"/>
      <c r="K34" s="302"/>
      <c r="L34" s="188"/>
      <c r="M34" s="188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205"/>
      <c r="Z34" s="205"/>
    </row>
    <row r="35" spans="1:26" x14ac:dyDescent="0.15">
      <c r="B35" s="234" t="s">
        <v>201</v>
      </c>
      <c r="C35" s="305"/>
      <c r="D35" s="226">
        <v>131676</v>
      </c>
      <c r="E35" s="203"/>
      <c r="F35" s="311">
        <f>'Admin vs Prog'!D59</f>
        <v>78473.91</v>
      </c>
      <c r="G35" s="311"/>
      <c r="H35" s="199">
        <f t="shared" si="1"/>
        <v>53202.09</v>
      </c>
      <c r="I35" s="199">
        <v>84986</v>
      </c>
      <c r="J35" s="302"/>
      <c r="K35" s="302"/>
      <c r="L35" s="188"/>
      <c r="M35" s="188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205"/>
      <c r="Z35" s="205"/>
    </row>
    <row r="36" spans="1:26" x14ac:dyDescent="0.15">
      <c r="B36" s="234"/>
      <c r="C36" s="305"/>
      <c r="D36" s="226"/>
      <c r="E36" s="203"/>
      <c r="F36" s="311"/>
      <c r="G36" s="311"/>
      <c r="H36" s="199"/>
      <c r="I36" s="199"/>
      <c r="J36" s="302"/>
      <c r="K36" s="302"/>
      <c r="L36" s="188"/>
      <c r="M36" s="188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205"/>
      <c r="Z36" s="205"/>
    </row>
    <row r="37" spans="1:26" ht="14" thickBot="1" x14ac:dyDescent="0.2">
      <c r="B37" s="195" t="s">
        <v>151</v>
      </c>
      <c r="C37" s="206"/>
      <c r="D37" s="203"/>
      <c r="E37" s="203"/>
      <c r="F37" s="313">
        <f>F22-F34-F35</f>
        <v>240967.35</v>
      </c>
      <c r="G37" s="311"/>
      <c r="H37" s="312">
        <f>SUM(H29:H36)</f>
        <v>815037.48</v>
      </c>
      <c r="I37" s="312">
        <f>SUM(I29:I36)</f>
        <v>1580516.5499999998</v>
      </c>
      <c r="J37" s="302"/>
      <c r="K37" s="307"/>
      <c r="L37" s="188"/>
      <c r="M37" s="188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205"/>
      <c r="Z37" s="205"/>
    </row>
    <row r="38" spans="1:26" ht="14" thickTop="1" x14ac:dyDescent="0.15">
      <c r="B38" s="295"/>
      <c r="C38" s="314"/>
      <c r="D38" s="204"/>
      <c r="E38" s="204"/>
      <c r="F38" s="315"/>
      <c r="G38" s="204"/>
      <c r="H38" s="124"/>
      <c r="I38" s="124"/>
      <c r="J38" s="302"/>
      <c r="K38" s="302"/>
      <c r="L38" s="188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205"/>
      <c r="Z38" s="205"/>
    </row>
    <row r="39" spans="1:26" x14ac:dyDescent="0.15">
      <c r="B39" s="234" t="s">
        <v>345</v>
      </c>
      <c r="D39" s="194"/>
      <c r="G39" s="316"/>
      <c r="H39" s="248"/>
      <c r="I39" s="248"/>
      <c r="J39" s="302"/>
      <c r="K39" s="302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205"/>
      <c r="Z39" s="205"/>
    </row>
    <row r="40" spans="1:26" s="354" customFormat="1" x14ac:dyDescent="0.15">
      <c r="B40" s="234" t="s">
        <v>179</v>
      </c>
      <c r="C40" s="194"/>
      <c r="D40" s="194"/>
      <c r="E40" s="194"/>
      <c r="F40" s="194"/>
      <c r="G40" s="194"/>
      <c r="H40" s="194"/>
      <c r="I40" s="194"/>
    </row>
    <row r="41" spans="1:26" x14ac:dyDescent="0.15">
      <c r="B41" s="234" t="s">
        <v>346</v>
      </c>
      <c r="D41" s="194"/>
      <c r="G41" s="176"/>
      <c r="H41" s="188"/>
      <c r="I41" s="188"/>
      <c r="J41" s="302"/>
      <c r="K41" s="302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205"/>
      <c r="Z41" s="205"/>
    </row>
    <row r="42" spans="1:26" x14ac:dyDescent="0.15">
      <c r="B42" s="234" t="s">
        <v>180</v>
      </c>
      <c r="D42" s="194"/>
      <c r="J42" s="194"/>
      <c r="K42" s="194"/>
    </row>
    <row r="43" spans="1:26" x14ac:dyDescent="0.15">
      <c r="B43" s="234" t="s">
        <v>351</v>
      </c>
      <c r="C43" s="139"/>
      <c r="D43" s="139"/>
      <c r="E43" s="139"/>
      <c r="F43" s="188"/>
      <c r="G43" s="316"/>
      <c r="H43" s="248"/>
      <c r="I43" s="249"/>
      <c r="J43" s="246"/>
      <c r="K43" s="194"/>
    </row>
    <row r="44" spans="1:26" x14ac:dyDescent="0.15">
      <c r="B44" s="232"/>
      <c r="C44" s="193"/>
      <c r="D44" s="188"/>
      <c r="E44" s="188"/>
      <c r="F44" s="188"/>
      <c r="G44" s="188"/>
      <c r="H44" s="188"/>
      <c r="I44" s="188"/>
      <c r="J44" s="302"/>
      <c r="K44" s="302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205"/>
      <c r="Z44" s="205"/>
    </row>
    <row r="45" spans="1:26" x14ac:dyDescent="0.15">
      <c r="B45" s="317"/>
      <c r="C45" s="193"/>
      <c r="D45" s="188"/>
      <c r="E45" s="188"/>
      <c r="F45" s="188"/>
      <c r="G45" s="188"/>
      <c r="H45" s="188"/>
      <c r="I45" s="188"/>
      <c r="J45" s="302"/>
      <c r="K45" s="302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205"/>
      <c r="Z45" s="205"/>
    </row>
    <row r="46" spans="1:26" x14ac:dyDescent="0.15">
      <c r="B46" s="317"/>
      <c r="C46" s="193"/>
      <c r="D46" s="188"/>
      <c r="E46" s="188"/>
      <c r="F46" s="188"/>
      <c r="G46" s="188"/>
      <c r="H46" s="188"/>
      <c r="I46" s="188"/>
      <c r="J46" s="302"/>
      <c r="K46" s="302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205"/>
      <c r="Z46" s="205"/>
    </row>
    <row r="47" spans="1:26" x14ac:dyDescent="0.15">
      <c r="B47" s="205"/>
      <c r="C47" s="193"/>
      <c r="D47" s="193"/>
      <c r="E47" s="193"/>
      <c r="F47" s="193"/>
      <c r="G47" s="193"/>
      <c r="H47" s="193"/>
      <c r="I47" s="193"/>
      <c r="J47" s="302"/>
      <c r="K47" s="302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205"/>
      <c r="Z47" s="205"/>
    </row>
    <row r="48" spans="1:26" x14ac:dyDescent="0.15">
      <c r="B48" s="205"/>
      <c r="C48" s="193"/>
      <c r="D48" s="193"/>
      <c r="E48" s="193"/>
      <c r="F48" s="193"/>
      <c r="G48" s="193"/>
      <c r="H48" s="318" t="s">
        <v>165</v>
      </c>
      <c r="I48" s="318"/>
      <c r="J48" s="302"/>
      <c r="K48" s="302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205"/>
      <c r="Z48" s="205"/>
    </row>
    <row r="49" spans="2:26" x14ac:dyDescent="0.15">
      <c r="B49" s="205"/>
      <c r="C49" s="193"/>
      <c r="D49" s="193"/>
      <c r="E49" s="193"/>
      <c r="F49" s="193"/>
      <c r="G49" s="193"/>
      <c r="H49" s="193"/>
      <c r="I49" s="193"/>
      <c r="J49" s="302"/>
      <c r="K49" s="302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205"/>
      <c r="Z49" s="205"/>
    </row>
    <row r="50" spans="2:26" x14ac:dyDescent="0.15">
      <c r="B50" s="205"/>
      <c r="C50" s="193"/>
      <c r="D50" s="355"/>
      <c r="E50" s="193"/>
      <c r="F50" s="193"/>
      <c r="G50" s="193"/>
      <c r="H50" s="193"/>
      <c r="I50" s="193"/>
      <c r="J50" s="302"/>
      <c r="K50" s="302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205"/>
      <c r="Z50" s="205"/>
    </row>
    <row r="51" spans="2:26" x14ac:dyDescent="0.15">
      <c r="B51" s="205"/>
      <c r="C51" s="193"/>
      <c r="D51" s="355"/>
      <c r="E51" s="193"/>
      <c r="F51" s="193"/>
      <c r="G51" s="193"/>
      <c r="H51" s="193"/>
      <c r="I51" s="193"/>
      <c r="J51" s="302"/>
      <c r="K51" s="302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205"/>
      <c r="Z51" s="205"/>
    </row>
    <row r="52" spans="2:26" x14ac:dyDescent="0.15">
      <c r="B52" s="205"/>
      <c r="C52" s="193"/>
      <c r="D52" s="355"/>
      <c r="E52" s="193"/>
      <c r="F52" s="193"/>
      <c r="G52" s="193"/>
      <c r="H52" s="193"/>
      <c r="I52" s="193"/>
      <c r="J52" s="302"/>
      <c r="K52" s="302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205"/>
      <c r="Z52" s="205"/>
    </row>
    <row r="53" spans="2:26" x14ac:dyDescent="0.15">
      <c r="B53" s="205"/>
      <c r="C53" s="193"/>
      <c r="D53" s="355"/>
      <c r="E53" s="193"/>
      <c r="F53" s="193"/>
      <c r="G53" s="193"/>
      <c r="H53" s="193"/>
      <c r="I53" s="193"/>
      <c r="J53" s="302"/>
      <c r="K53" s="302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205"/>
      <c r="Z53" s="205"/>
    </row>
    <row r="54" spans="2:26" x14ac:dyDescent="0.15">
      <c r="B54" s="205"/>
      <c r="C54" s="193"/>
      <c r="D54" s="355"/>
      <c r="E54" s="193"/>
      <c r="F54" s="193"/>
      <c r="G54" s="193"/>
      <c r="H54" s="193"/>
      <c r="I54" s="193"/>
      <c r="J54" s="302"/>
      <c r="K54" s="302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205"/>
      <c r="Z54" s="205"/>
    </row>
    <row r="55" spans="2:26" x14ac:dyDescent="0.15">
      <c r="B55" s="205"/>
      <c r="C55" s="193"/>
      <c r="D55" s="355"/>
      <c r="E55" s="193"/>
      <c r="F55" s="193"/>
      <c r="G55" s="193"/>
      <c r="H55" s="193"/>
      <c r="I55" s="193"/>
      <c r="J55" s="302"/>
      <c r="K55" s="302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205"/>
      <c r="Z55" s="205"/>
    </row>
    <row r="56" spans="2:26" x14ac:dyDescent="0.15">
      <c r="B56" s="205"/>
      <c r="C56" s="193"/>
      <c r="D56" s="355"/>
      <c r="E56" s="193"/>
      <c r="F56" s="193"/>
      <c r="G56" s="193"/>
      <c r="H56" s="193"/>
      <c r="I56" s="193"/>
      <c r="J56" s="302"/>
      <c r="K56" s="302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205"/>
      <c r="Z56" s="205"/>
    </row>
    <row r="57" spans="2:26" x14ac:dyDescent="0.15">
      <c r="B57" s="205"/>
      <c r="C57" s="193"/>
      <c r="D57" s="355"/>
      <c r="E57" s="193"/>
      <c r="F57" s="193"/>
      <c r="G57" s="193"/>
      <c r="H57" s="193"/>
      <c r="I57" s="193"/>
      <c r="J57" s="302"/>
      <c r="K57" s="302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205"/>
      <c r="Z57" s="205"/>
    </row>
    <row r="58" spans="2:26" x14ac:dyDescent="0.15">
      <c r="B58" s="205"/>
      <c r="C58" s="193"/>
      <c r="D58" s="355"/>
      <c r="E58" s="193"/>
      <c r="F58" s="193"/>
      <c r="G58" s="193"/>
      <c r="H58" s="193"/>
      <c r="I58" s="193"/>
      <c r="J58" s="302"/>
      <c r="K58" s="302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205"/>
      <c r="Z58" s="205"/>
    </row>
    <row r="59" spans="2:26" x14ac:dyDescent="0.15">
      <c r="B59" s="205"/>
      <c r="C59" s="193"/>
      <c r="D59" s="355"/>
      <c r="E59" s="193"/>
      <c r="F59" s="193"/>
      <c r="G59" s="193"/>
      <c r="H59" s="193"/>
      <c r="I59" s="193"/>
      <c r="J59" s="302"/>
      <c r="K59" s="302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205"/>
      <c r="Z59" s="205"/>
    </row>
    <row r="60" spans="2:26" x14ac:dyDescent="0.15">
      <c r="B60" s="205"/>
      <c r="C60" s="193"/>
      <c r="D60" s="355"/>
      <c r="E60" s="193"/>
      <c r="F60" s="193"/>
      <c r="G60" s="193"/>
      <c r="H60" s="193"/>
      <c r="I60" s="193"/>
      <c r="J60" s="302"/>
      <c r="K60" s="302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205"/>
      <c r="Z60" s="205"/>
    </row>
    <row r="61" spans="2:26" x14ac:dyDescent="0.15">
      <c r="B61" s="205"/>
      <c r="C61" s="193"/>
      <c r="D61" s="355"/>
      <c r="E61" s="193"/>
      <c r="F61" s="193"/>
      <c r="G61" s="193"/>
      <c r="H61" s="193"/>
      <c r="I61" s="193"/>
      <c r="J61" s="302"/>
      <c r="K61" s="302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205"/>
      <c r="Z61" s="205"/>
    </row>
    <row r="62" spans="2:26" x14ac:dyDescent="0.15">
      <c r="B62" s="205"/>
      <c r="C62" s="193"/>
      <c r="D62" s="355"/>
      <c r="E62" s="193"/>
      <c r="F62" s="193"/>
      <c r="G62" s="193"/>
      <c r="H62" s="193"/>
      <c r="I62" s="193"/>
      <c r="J62" s="302"/>
      <c r="K62" s="302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205"/>
      <c r="Z62" s="205"/>
    </row>
    <row r="63" spans="2:26" x14ac:dyDescent="0.15">
      <c r="B63" s="205"/>
      <c r="C63" s="193"/>
      <c r="D63" s="355"/>
      <c r="E63" s="193"/>
      <c r="F63" s="193"/>
      <c r="G63" s="193"/>
      <c r="H63" s="193"/>
      <c r="I63" s="193"/>
      <c r="J63" s="302"/>
      <c r="K63" s="302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205"/>
      <c r="Z63" s="205"/>
    </row>
    <row r="64" spans="2:26" x14ac:dyDescent="0.15">
      <c r="B64" s="205"/>
      <c r="C64" s="193"/>
      <c r="D64" s="355"/>
      <c r="E64" s="193"/>
      <c r="F64" s="193"/>
      <c r="G64" s="193"/>
      <c r="H64" s="193"/>
      <c r="I64" s="193"/>
      <c r="J64" s="302"/>
      <c r="K64" s="302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205"/>
      <c r="Z64" s="205"/>
    </row>
    <row r="65" spans="2:26" x14ac:dyDescent="0.15">
      <c r="B65" s="205"/>
      <c r="C65" s="193"/>
      <c r="D65" s="355"/>
      <c r="E65" s="193"/>
      <c r="F65" s="193"/>
      <c r="G65" s="193"/>
      <c r="H65" s="193"/>
      <c r="I65" s="193"/>
      <c r="J65" s="302"/>
      <c r="K65" s="302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205"/>
      <c r="Z65" s="205"/>
    </row>
    <row r="66" spans="2:26" x14ac:dyDescent="0.15">
      <c r="B66" s="205"/>
      <c r="C66" s="193"/>
      <c r="D66" s="355"/>
      <c r="E66" s="193"/>
      <c r="F66" s="193"/>
      <c r="G66" s="193"/>
      <c r="H66" s="193"/>
      <c r="I66" s="193"/>
      <c r="J66" s="302"/>
      <c r="K66" s="302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205"/>
      <c r="Z66" s="205"/>
    </row>
    <row r="67" spans="2:26" x14ac:dyDescent="0.15">
      <c r="B67" s="205"/>
      <c r="C67" s="193"/>
      <c r="D67" s="355"/>
      <c r="E67" s="193"/>
      <c r="F67" s="193"/>
      <c r="G67" s="193"/>
      <c r="H67" s="193"/>
      <c r="I67" s="193"/>
      <c r="J67" s="302"/>
      <c r="K67" s="302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205"/>
      <c r="Z67" s="205"/>
    </row>
    <row r="68" spans="2:26" x14ac:dyDescent="0.15">
      <c r="B68" s="205"/>
      <c r="C68" s="193"/>
      <c r="D68" s="355"/>
      <c r="E68" s="193"/>
      <c r="F68" s="193"/>
      <c r="G68" s="193"/>
      <c r="H68" s="193"/>
      <c r="I68" s="193"/>
      <c r="J68" s="302"/>
      <c r="K68" s="302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205"/>
      <c r="Z68" s="205"/>
    </row>
    <row r="69" spans="2:26" x14ac:dyDescent="0.15">
      <c r="B69" s="205"/>
      <c r="C69" s="193"/>
      <c r="D69" s="355"/>
      <c r="E69" s="193"/>
      <c r="F69" s="193"/>
      <c r="G69" s="193"/>
      <c r="H69" s="193"/>
      <c r="I69" s="193"/>
      <c r="J69" s="302"/>
      <c r="K69" s="302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205"/>
      <c r="Z69" s="205"/>
    </row>
    <row r="70" spans="2:26" x14ac:dyDescent="0.15">
      <c r="B70" s="205"/>
      <c r="C70" s="193"/>
      <c r="D70" s="355"/>
      <c r="E70" s="193"/>
      <c r="F70" s="193"/>
      <c r="G70" s="193"/>
      <c r="H70" s="193"/>
      <c r="I70" s="193"/>
      <c r="J70" s="302"/>
      <c r="K70" s="302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205"/>
      <c r="Z70" s="205"/>
    </row>
    <row r="71" spans="2:26" x14ac:dyDescent="0.15">
      <c r="B71" s="205"/>
      <c r="C71" s="193"/>
      <c r="D71" s="355"/>
      <c r="E71" s="193"/>
      <c r="F71" s="193"/>
      <c r="G71" s="193"/>
      <c r="H71" s="193"/>
      <c r="I71" s="193"/>
      <c r="J71" s="302"/>
      <c r="K71" s="302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205"/>
      <c r="Z71" s="205"/>
    </row>
    <row r="72" spans="2:26" x14ac:dyDescent="0.15">
      <c r="B72" s="205"/>
      <c r="C72" s="193"/>
      <c r="D72" s="355"/>
      <c r="E72" s="193"/>
      <c r="F72" s="193"/>
      <c r="G72" s="193"/>
      <c r="H72" s="193"/>
      <c r="I72" s="193"/>
      <c r="J72" s="302"/>
      <c r="K72" s="302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205"/>
      <c r="Z72" s="205"/>
    </row>
    <row r="73" spans="2:26" x14ac:dyDescent="0.15">
      <c r="B73" s="205"/>
      <c r="C73" s="205"/>
      <c r="D73" s="356"/>
      <c r="E73" s="205"/>
      <c r="F73" s="205"/>
      <c r="G73" s="205"/>
      <c r="H73" s="205"/>
      <c r="I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</row>
    <row r="74" spans="2:26" x14ac:dyDescent="0.15">
      <c r="B74" s="205"/>
      <c r="C74" s="205"/>
      <c r="D74" s="356"/>
      <c r="E74" s="205"/>
      <c r="F74" s="205"/>
      <c r="G74" s="205"/>
      <c r="H74" s="205"/>
      <c r="I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</row>
    <row r="75" spans="2:26" x14ac:dyDescent="0.15">
      <c r="B75" s="205"/>
      <c r="C75" s="205"/>
      <c r="D75" s="356"/>
      <c r="E75" s="205"/>
      <c r="F75" s="205"/>
      <c r="G75" s="205"/>
      <c r="H75" s="205"/>
      <c r="I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</row>
    <row r="76" spans="2:26" x14ac:dyDescent="0.15">
      <c r="B76" s="205"/>
      <c r="C76" s="205"/>
      <c r="D76" s="356"/>
      <c r="E76" s="205"/>
      <c r="F76" s="205"/>
      <c r="G76" s="205"/>
      <c r="H76" s="205"/>
      <c r="I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</row>
    <row r="77" spans="2:26" x14ac:dyDescent="0.15">
      <c r="B77" s="205"/>
      <c r="C77" s="205"/>
      <c r="D77" s="356"/>
      <c r="E77" s="205"/>
      <c r="F77" s="205"/>
      <c r="G77" s="205"/>
      <c r="H77" s="205"/>
      <c r="I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</row>
    <row r="78" spans="2:26" x14ac:dyDescent="0.15">
      <c r="B78" s="205"/>
      <c r="C78" s="205"/>
      <c r="D78" s="356"/>
      <c r="E78" s="205"/>
      <c r="F78" s="205"/>
      <c r="G78" s="205"/>
      <c r="H78" s="205"/>
      <c r="I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</row>
    <row r="79" spans="2:26" x14ac:dyDescent="0.15">
      <c r="B79" s="205"/>
      <c r="C79" s="205"/>
      <c r="D79" s="356"/>
      <c r="E79" s="205"/>
      <c r="F79" s="205"/>
      <c r="G79" s="205"/>
      <c r="H79" s="205"/>
      <c r="I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</row>
    <row r="80" spans="2:26" x14ac:dyDescent="0.15">
      <c r="B80" s="205"/>
      <c r="C80" s="205"/>
      <c r="D80" s="356"/>
      <c r="E80" s="205"/>
      <c r="F80" s="205"/>
      <c r="G80" s="205"/>
      <c r="H80" s="205"/>
      <c r="I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</row>
    <row r="81" spans="2:26" x14ac:dyDescent="0.15">
      <c r="B81" s="205"/>
      <c r="C81" s="205"/>
      <c r="D81" s="356"/>
      <c r="E81" s="205"/>
      <c r="F81" s="205"/>
      <c r="G81" s="205"/>
      <c r="H81" s="205"/>
      <c r="I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</row>
    <row r="82" spans="2:26" x14ac:dyDescent="0.15">
      <c r="B82" s="205"/>
      <c r="C82" s="205"/>
      <c r="D82" s="356"/>
      <c r="E82" s="205"/>
      <c r="F82" s="205"/>
      <c r="G82" s="205"/>
      <c r="H82" s="205"/>
      <c r="I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</row>
    <row r="83" spans="2:26" x14ac:dyDescent="0.15">
      <c r="B83" s="205"/>
      <c r="C83" s="205"/>
      <c r="D83" s="356"/>
      <c r="E83" s="205"/>
      <c r="F83" s="205"/>
      <c r="G83" s="205"/>
      <c r="H83" s="205"/>
      <c r="I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</row>
    <row r="84" spans="2:26" x14ac:dyDescent="0.15">
      <c r="B84" s="205"/>
      <c r="C84" s="205"/>
      <c r="D84" s="356"/>
      <c r="E84" s="205"/>
      <c r="F84" s="205"/>
      <c r="G84" s="205"/>
      <c r="H84" s="205"/>
      <c r="I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</row>
    <row r="85" spans="2:26" x14ac:dyDescent="0.15">
      <c r="B85" s="205"/>
      <c r="C85" s="205"/>
      <c r="D85" s="356"/>
      <c r="E85" s="205"/>
      <c r="F85" s="205"/>
      <c r="G85" s="205"/>
      <c r="H85" s="205"/>
      <c r="I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</row>
    <row r="86" spans="2:26" x14ac:dyDescent="0.15">
      <c r="B86" s="205"/>
      <c r="C86" s="205"/>
      <c r="D86" s="356"/>
      <c r="E86" s="205"/>
      <c r="F86" s="205"/>
      <c r="G86" s="205"/>
      <c r="H86" s="205"/>
      <c r="I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</row>
    <row r="87" spans="2:26" x14ac:dyDescent="0.15">
      <c r="B87" s="205"/>
      <c r="C87" s="205"/>
      <c r="D87" s="356"/>
      <c r="E87" s="205"/>
      <c r="F87" s="205"/>
      <c r="G87" s="205"/>
      <c r="H87" s="205"/>
      <c r="I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</row>
    <row r="88" spans="2:26" x14ac:dyDescent="0.15">
      <c r="B88" s="205"/>
      <c r="C88" s="205"/>
      <c r="D88" s="356"/>
      <c r="E88" s="205"/>
      <c r="F88" s="205"/>
      <c r="G88" s="205"/>
      <c r="H88" s="205"/>
      <c r="I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</row>
    <row r="89" spans="2:26" x14ac:dyDescent="0.15">
      <c r="B89" s="205"/>
      <c r="C89" s="205"/>
      <c r="D89" s="356"/>
      <c r="E89" s="205"/>
      <c r="F89" s="205"/>
      <c r="G89" s="205"/>
      <c r="H89" s="205"/>
      <c r="I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</row>
    <row r="90" spans="2:26" x14ac:dyDescent="0.15">
      <c r="B90" s="205"/>
      <c r="C90" s="205"/>
      <c r="D90" s="356"/>
      <c r="E90" s="205"/>
      <c r="F90" s="205"/>
      <c r="G90" s="205"/>
      <c r="H90" s="205"/>
      <c r="I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</row>
    <row r="91" spans="2:26" x14ac:dyDescent="0.15">
      <c r="B91" s="205"/>
      <c r="C91" s="205"/>
      <c r="D91" s="356"/>
      <c r="E91" s="205"/>
      <c r="F91" s="205"/>
      <c r="G91" s="205"/>
      <c r="H91" s="205"/>
      <c r="I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</row>
    <row r="92" spans="2:26" x14ac:dyDescent="0.15">
      <c r="B92" s="205"/>
      <c r="C92" s="205"/>
      <c r="D92" s="356"/>
      <c r="E92" s="205"/>
      <c r="F92" s="205"/>
      <c r="G92" s="205"/>
      <c r="H92" s="205"/>
      <c r="I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</row>
    <row r="93" spans="2:26" x14ac:dyDescent="0.15">
      <c r="B93" s="205"/>
      <c r="C93" s="205"/>
      <c r="D93" s="356"/>
      <c r="E93" s="205"/>
      <c r="F93" s="205"/>
      <c r="G93" s="205"/>
      <c r="H93" s="205"/>
      <c r="I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Z93" s="205"/>
    </row>
    <row r="94" spans="2:26" x14ac:dyDescent="0.15">
      <c r="B94" s="205"/>
      <c r="C94" s="205"/>
      <c r="D94" s="356"/>
      <c r="E94" s="205"/>
      <c r="F94" s="205"/>
      <c r="G94" s="205"/>
      <c r="H94" s="205"/>
      <c r="I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</row>
    <row r="95" spans="2:26" x14ac:dyDescent="0.15">
      <c r="B95" s="205"/>
      <c r="C95" s="205"/>
      <c r="D95" s="356"/>
      <c r="E95" s="205"/>
      <c r="F95" s="205"/>
      <c r="G95" s="205"/>
      <c r="H95" s="205"/>
      <c r="I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</row>
    <row r="96" spans="2:26" x14ac:dyDescent="0.15">
      <c r="B96" s="205"/>
      <c r="C96" s="205"/>
      <c r="D96" s="356"/>
      <c r="E96" s="205"/>
      <c r="F96" s="205"/>
      <c r="G96" s="205"/>
      <c r="H96" s="205"/>
      <c r="I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</row>
    <row r="97" spans="2:26" x14ac:dyDescent="0.15">
      <c r="B97" s="205"/>
      <c r="C97" s="205"/>
      <c r="D97" s="356"/>
      <c r="E97" s="205"/>
      <c r="F97" s="205"/>
      <c r="G97" s="205"/>
      <c r="H97" s="205"/>
      <c r="I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</row>
    <row r="98" spans="2:26" x14ac:dyDescent="0.15">
      <c r="B98" s="205"/>
      <c r="C98" s="205"/>
      <c r="D98" s="356"/>
      <c r="E98" s="205"/>
      <c r="F98" s="205"/>
      <c r="G98" s="205"/>
      <c r="H98" s="205"/>
      <c r="I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</row>
    <row r="99" spans="2:26" x14ac:dyDescent="0.15">
      <c r="B99" s="205"/>
      <c r="C99" s="205"/>
      <c r="D99" s="356"/>
      <c r="E99" s="205"/>
      <c r="F99" s="205"/>
      <c r="G99" s="205"/>
      <c r="H99" s="205"/>
      <c r="I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</row>
    <row r="100" spans="2:26" x14ac:dyDescent="0.15">
      <c r="B100" s="205"/>
      <c r="C100" s="205"/>
      <c r="D100" s="356"/>
      <c r="E100" s="205"/>
      <c r="F100" s="205"/>
      <c r="G100" s="205"/>
      <c r="H100" s="205"/>
      <c r="I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</row>
    <row r="101" spans="2:26" x14ac:dyDescent="0.15">
      <c r="B101" s="205"/>
      <c r="C101" s="205"/>
      <c r="D101" s="356"/>
      <c r="E101" s="205"/>
      <c r="F101" s="205"/>
      <c r="G101" s="205"/>
      <c r="H101" s="205"/>
      <c r="I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</row>
    <row r="102" spans="2:26" x14ac:dyDescent="0.15">
      <c r="B102" s="205"/>
      <c r="C102" s="205"/>
      <c r="D102" s="356"/>
      <c r="E102" s="205"/>
      <c r="F102" s="205"/>
      <c r="G102" s="205"/>
      <c r="H102" s="205"/>
      <c r="I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</row>
    <row r="103" spans="2:26" x14ac:dyDescent="0.15">
      <c r="B103" s="205"/>
      <c r="C103" s="205"/>
      <c r="D103" s="356"/>
      <c r="E103" s="205"/>
      <c r="F103" s="205"/>
      <c r="G103" s="205"/>
      <c r="H103" s="205"/>
      <c r="I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</row>
    <row r="104" spans="2:26" x14ac:dyDescent="0.15">
      <c r="B104" s="205"/>
      <c r="C104" s="205"/>
      <c r="D104" s="356"/>
      <c r="E104" s="205"/>
      <c r="F104" s="205"/>
      <c r="G104" s="205"/>
      <c r="H104" s="205"/>
      <c r="I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</row>
    <row r="105" spans="2:26" x14ac:dyDescent="0.15">
      <c r="B105" s="205"/>
      <c r="C105" s="205"/>
      <c r="D105" s="356"/>
      <c r="E105" s="205"/>
      <c r="F105" s="205"/>
      <c r="G105" s="205"/>
      <c r="H105" s="205"/>
      <c r="I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</row>
    <row r="106" spans="2:26" x14ac:dyDescent="0.15">
      <c r="B106" s="205"/>
      <c r="C106" s="205"/>
      <c r="D106" s="356"/>
      <c r="E106" s="205"/>
      <c r="F106" s="205"/>
      <c r="G106" s="205"/>
      <c r="H106" s="205"/>
      <c r="I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</row>
    <row r="107" spans="2:26" x14ac:dyDescent="0.15">
      <c r="B107" s="205"/>
      <c r="C107" s="205"/>
      <c r="D107" s="356"/>
      <c r="E107" s="205"/>
      <c r="F107" s="205"/>
      <c r="G107" s="205"/>
      <c r="H107" s="205"/>
      <c r="I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</row>
    <row r="108" spans="2:26" x14ac:dyDescent="0.15">
      <c r="B108" s="205"/>
      <c r="C108" s="205"/>
      <c r="D108" s="356"/>
      <c r="E108" s="205"/>
      <c r="F108" s="205"/>
      <c r="G108" s="205"/>
      <c r="H108" s="205"/>
      <c r="I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</row>
    <row r="109" spans="2:26" x14ac:dyDescent="0.15">
      <c r="B109" s="205"/>
      <c r="C109" s="205"/>
      <c r="D109" s="356"/>
      <c r="E109" s="205"/>
      <c r="F109" s="205"/>
      <c r="G109" s="205"/>
      <c r="H109" s="205"/>
      <c r="I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</row>
    <row r="110" spans="2:26" x14ac:dyDescent="0.15">
      <c r="B110" s="205"/>
      <c r="C110" s="205"/>
      <c r="D110" s="356"/>
      <c r="E110" s="205"/>
      <c r="F110" s="205"/>
      <c r="G110" s="205"/>
      <c r="H110" s="205"/>
      <c r="I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</row>
    <row r="111" spans="2:26" x14ac:dyDescent="0.15">
      <c r="B111" s="205"/>
      <c r="C111" s="205"/>
      <c r="D111" s="356"/>
      <c r="E111" s="205"/>
      <c r="F111" s="205"/>
      <c r="G111" s="205"/>
      <c r="H111" s="205"/>
      <c r="I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</row>
    <row r="112" spans="2:26" x14ac:dyDescent="0.15">
      <c r="B112" s="205"/>
      <c r="C112" s="205"/>
      <c r="D112" s="356"/>
      <c r="E112" s="205"/>
      <c r="F112" s="205"/>
      <c r="G112" s="205"/>
      <c r="H112" s="205"/>
      <c r="I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</row>
    <row r="113" spans="2:26" x14ac:dyDescent="0.15">
      <c r="B113" s="205"/>
      <c r="C113" s="205"/>
      <c r="D113" s="356"/>
      <c r="E113" s="205"/>
      <c r="F113" s="205"/>
      <c r="G113" s="205"/>
      <c r="H113" s="205"/>
      <c r="I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</row>
    <row r="114" spans="2:26" x14ac:dyDescent="0.15">
      <c r="B114" s="205"/>
      <c r="C114" s="205"/>
      <c r="D114" s="356"/>
      <c r="E114" s="205"/>
      <c r="F114" s="205"/>
      <c r="G114" s="205"/>
      <c r="H114" s="205"/>
      <c r="I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</row>
    <row r="115" spans="2:26" x14ac:dyDescent="0.15">
      <c r="B115" s="205"/>
      <c r="C115" s="205"/>
      <c r="D115" s="356"/>
      <c r="E115" s="205"/>
      <c r="F115" s="205"/>
      <c r="G115" s="205"/>
      <c r="H115" s="205"/>
      <c r="I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</row>
    <row r="116" spans="2:26" x14ac:dyDescent="0.15">
      <c r="B116" s="205"/>
      <c r="C116" s="205"/>
      <c r="D116" s="356"/>
      <c r="E116" s="205"/>
      <c r="F116" s="205"/>
      <c r="G116" s="205"/>
      <c r="H116" s="205"/>
      <c r="I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/>
      <c r="W116" s="205"/>
      <c r="X116" s="205"/>
      <c r="Y116" s="205"/>
      <c r="Z116" s="205"/>
    </row>
    <row r="117" spans="2:26" x14ac:dyDescent="0.15">
      <c r="B117" s="205"/>
      <c r="C117" s="205"/>
      <c r="D117" s="356"/>
      <c r="E117" s="205"/>
      <c r="F117" s="205"/>
      <c r="G117" s="205"/>
      <c r="H117" s="205"/>
      <c r="I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</row>
    <row r="118" spans="2:26" x14ac:dyDescent="0.15">
      <c r="B118" s="205"/>
      <c r="C118" s="205"/>
      <c r="D118" s="356"/>
      <c r="E118" s="205"/>
      <c r="F118" s="205"/>
      <c r="G118" s="205"/>
      <c r="H118" s="205"/>
      <c r="I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</row>
    <row r="119" spans="2:26" x14ac:dyDescent="0.15">
      <c r="B119" s="205"/>
      <c r="C119" s="205"/>
      <c r="D119" s="356"/>
      <c r="E119" s="205"/>
      <c r="F119" s="205"/>
      <c r="G119" s="205"/>
      <c r="H119" s="205"/>
      <c r="I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</row>
    <row r="120" spans="2:26" x14ac:dyDescent="0.15">
      <c r="B120" s="205"/>
      <c r="C120" s="205"/>
      <c r="D120" s="356"/>
      <c r="E120" s="205"/>
      <c r="F120" s="205"/>
      <c r="G120" s="205"/>
      <c r="H120" s="205"/>
      <c r="I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</row>
    <row r="121" spans="2:26" x14ac:dyDescent="0.15">
      <c r="B121" s="205"/>
      <c r="C121" s="205"/>
      <c r="D121" s="356"/>
      <c r="E121" s="205"/>
      <c r="F121" s="205"/>
      <c r="G121" s="205"/>
      <c r="H121" s="205"/>
      <c r="I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</row>
    <row r="122" spans="2:26" x14ac:dyDescent="0.15">
      <c r="B122" s="205"/>
      <c r="C122" s="205"/>
      <c r="D122" s="356"/>
      <c r="E122" s="205"/>
      <c r="F122" s="205"/>
      <c r="G122" s="205"/>
      <c r="H122" s="205"/>
      <c r="I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</row>
    <row r="123" spans="2:26" x14ac:dyDescent="0.15">
      <c r="B123" s="205"/>
      <c r="C123" s="205"/>
      <c r="D123" s="356"/>
      <c r="E123" s="205"/>
      <c r="F123" s="205"/>
      <c r="G123" s="205"/>
      <c r="H123" s="205"/>
      <c r="I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</row>
    <row r="124" spans="2:26" x14ac:dyDescent="0.15">
      <c r="B124" s="205"/>
      <c r="C124" s="205"/>
      <c r="D124" s="356"/>
      <c r="E124" s="205"/>
      <c r="F124" s="205"/>
      <c r="G124" s="205"/>
      <c r="H124" s="205"/>
      <c r="I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</row>
    <row r="125" spans="2:26" x14ac:dyDescent="0.15">
      <c r="B125" s="205"/>
      <c r="C125" s="205"/>
      <c r="D125" s="356"/>
      <c r="E125" s="205"/>
      <c r="F125" s="205"/>
      <c r="G125" s="205"/>
      <c r="H125" s="205"/>
      <c r="I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</row>
    <row r="126" spans="2:26" x14ac:dyDescent="0.15">
      <c r="B126" s="205"/>
      <c r="C126" s="205"/>
      <c r="D126" s="356"/>
      <c r="E126" s="205"/>
      <c r="F126" s="205"/>
      <c r="G126" s="205"/>
      <c r="H126" s="205"/>
      <c r="I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</row>
    <row r="127" spans="2:26" x14ac:dyDescent="0.15">
      <c r="B127" s="205"/>
      <c r="C127" s="205"/>
      <c r="D127" s="356"/>
      <c r="E127" s="205"/>
      <c r="F127" s="205"/>
      <c r="G127" s="205"/>
      <c r="H127" s="205"/>
      <c r="I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</row>
    <row r="128" spans="2:26" x14ac:dyDescent="0.15">
      <c r="B128" s="205"/>
      <c r="C128" s="205"/>
      <c r="D128" s="356"/>
      <c r="E128" s="205"/>
      <c r="F128" s="205"/>
      <c r="G128" s="205"/>
      <c r="H128" s="205"/>
      <c r="I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</row>
  </sheetData>
  <mergeCells count="5">
    <mergeCell ref="B2:I2"/>
    <mergeCell ref="B3:I3"/>
    <mergeCell ref="B4:I4"/>
    <mergeCell ref="B5:I5"/>
    <mergeCell ref="B7:I7"/>
  </mergeCells>
  <phoneticPr fontId="11" type="noConversion"/>
  <pageMargins left="0" right="0" top="1" bottom="0" header="0.5" footer="0.5"/>
  <pageSetup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J74"/>
  <sheetViews>
    <sheetView topLeftCell="B1" workbookViewId="0">
      <selection activeCell="B1" sqref="B1:E65536"/>
    </sheetView>
  </sheetViews>
  <sheetFormatPr baseColWidth="10" defaultColWidth="8.83203125" defaultRowHeight="13" x14ac:dyDescent="0.15"/>
  <cols>
    <col min="1" max="1" width="31.6640625" customWidth="1"/>
    <col min="2" max="2" width="12.6640625" customWidth="1"/>
    <col min="3" max="4" width="10.6640625" customWidth="1"/>
    <col min="5" max="5" width="12.6640625" customWidth="1"/>
    <col min="6" max="6" width="10.6640625" customWidth="1"/>
    <col min="7" max="7" width="12.6640625" customWidth="1"/>
  </cols>
  <sheetData>
    <row r="1" spans="1:8" x14ac:dyDescent="0.15">
      <c r="A1" s="16"/>
      <c r="B1" s="16"/>
      <c r="C1" s="6" t="s">
        <v>0</v>
      </c>
      <c r="E1" s="6"/>
      <c r="F1" s="16"/>
      <c r="G1" s="8"/>
      <c r="H1" s="8"/>
    </row>
    <row r="2" spans="1:8" x14ac:dyDescent="0.15">
      <c r="A2" s="16"/>
      <c r="B2" s="16"/>
      <c r="C2" s="6" t="s">
        <v>1</v>
      </c>
      <c r="E2" s="6"/>
      <c r="F2" s="16"/>
      <c r="G2" s="8"/>
      <c r="H2" s="8"/>
    </row>
    <row r="3" spans="1:8" x14ac:dyDescent="0.15">
      <c r="A3" s="16"/>
      <c r="B3" s="16"/>
      <c r="C3" s="6" t="s">
        <v>104</v>
      </c>
      <c r="E3" s="6"/>
      <c r="F3" s="16"/>
      <c r="G3" s="8"/>
      <c r="H3" s="8"/>
    </row>
    <row r="4" spans="1:8" ht="5" customHeight="1" x14ac:dyDescent="0.15">
      <c r="A4" s="35"/>
      <c r="B4" s="35"/>
      <c r="C4" s="36"/>
      <c r="D4" s="12"/>
      <c r="E4" s="36"/>
      <c r="F4" s="37"/>
      <c r="G4" s="11"/>
      <c r="H4" s="12"/>
    </row>
    <row r="5" spans="1:8" x14ac:dyDescent="0.15">
      <c r="A5" s="35"/>
      <c r="B5" s="35"/>
      <c r="C5" s="6"/>
      <c r="D5" s="16"/>
      <c r="E5" s="6" t="s">
        <v>31</v>
      </c>
      <c r="F5" s="8"/>
      <c r="G5" s="38"/>
      <c r="H5" s="12"/>
    </row>
    <row r="6" spans="1:8" x14ac:dyDescent="0.15">
      <c r="A6" s="37"/>
      <c r="B6" s="37"/>
      <c r="C6" s="6" t="s">
        <v>32</v>
      </c>
      <c r="D6" s="6">
        <v>1999</v>
      </c>
      <c r="E6" s="6" t="s">
        <v>33</v>
      </c>
      <c r="F6" s="6">
        <v>1999</v>
      </c>
      <c r="G6" s="6">
        <v>1999</v>
      </c>
      <c r="H6" s="12"/>
    </row>
    <row r="7" spans="1:8" x14ac:dyDescent="0.15">
      <c r="A7" s="37"/>
      <c r="B7" s="37"/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12"/>
    </row>
    <row r="8" spans="1:8" x14ac:dyDescent="0.15">
      <c r="A8" s="37"/>
      <c r="B8" s="37"/>
      <c r="C8" s="39">
        <v>36250</v>
      </c>
      <c r="D8" s="20" t="s">
        <v>39</v>
      </c>
      <c r="E8" s="20" t="s">
        <v>40</v>
      </c>
      <c r="F8" s="20" t="s">
        <v>39</v>
      </c>
      <c r="G8" s="20" t="s">
        <v>39</v>
      </c>
      <c r="H8" s="12"/>
    </row>
    <row r="9" spans="1:8" x14ac:dyDescent="0.15">
      <c r="A9" s="40" t="s">
        <v>41</v>
      </c>
      <c r="B9" s="41"/>
      <c r="C9" s="42"/>
      <c r="D9" s="43"/>
      <c r="E9" s="43"/>
      <c r="F9" s="43"/>
      <c r="G9" s="44"/>
      <c r="H9" s="12"/>
    </row>
    <row r="10" spans="1:8" x14ac:dyDescent="0.15">
      <c r="A10" s="45" t="s">
        <v>42</v>
      </c>
      <c r="B10" s="46">
        <f>+C10/$C$45</f>
        <v>0.33682737676281288</v>
      </c>
      <c r="C10" s="47">
        <f>8889.39+13806.28+356.99+2907.92+6448.7+4419.1</f>
        <v>36828.380000000005</v>
      </c>
      <c r="D10" s="47" t="e">
        <f>F10/12*3</f>
        <v>#REF!</v>
      </c>
      <c r="E10" s="47" t="e">
        <f>+D10-C10</f>
        <v>#REF!</v>
      </c>
      <c r="F10" s="47" t="e">
        <f>+'income statement'!#REF!*0.37</f>
        <v>#REF!</v>
      </c>
      <c r="G10" s="48" t="e">
        <f>+F10-C10</f>
        <v>#REF!</v>
      </c>
      <c r="H10" s="1"/>
    </row>
    <row r="11" spans="1:8" x14ac:dyDescent="0.15">
      <c r="A11" s="45" t="s">
        <v>43</v>
      </c>
      <c r="B11" s="49"/>
      <c r="C11" s="14"/>
      <c r="D11" s="14"/>
      <c r="E11" s="14"/>
      <c r="F11" s="14"/>
      <c r="G11" s="14"/>
      <c r="H11" s="1"/>
    </row>
    <row r="12" spans="1:8" x14ac:dyDescent="0.15">
      <c r="A12" s="50" t="s">
        <v>44</v>
      </c>
      <c r="B12" s="51">
        <f t="shared" ref="B12:B23" si="0">+C12/$C$45</f>
        <v>4.4221810117693196E-2</v>
      </c>
      <c r="C12" s="52">
        <f>3865.64+969.53</f>
        <v>4835.17</v>
      </c>
      <c r="D12" s="52">
        <f t="shared" ref="D12:D23" si="1">F12/12*3</f>
        <v>1375</v>
      </c>
      <c r="E12" s="52">
        <f t="shared" ref="E12:E23" si="2">D12-C12</f>
        <v>-3460.17</v>
      </c>
      <c r="F12" s="52">
        <v>5500</v>
      </c>
      <c r="G12" s="52">
        <f t="shared" ref="G12:G23" si="3">F12-C12</f>
        <v>664.82999999999993</v>
      </c>
      <c r="H12" s="1"/>
    </row>
    <row r="13" spans="1:8" x14ac:dyDescent="0.15">
      <c r="A13" s="50" t="s">
        <v>45</v>
      </c>
      <c r="B13" s="51">
        <f t="shared" si="0"/>
        <v>1.2776772840338063E-2</v>
      </c>
      <c r="C13" s="52">
        <v>1397</v>
      </c>
      <c r="D13" s="52">
        <f t="shared" si="1"/>
        <v>1500</v>
      </c>
      <c r="E13" s="53">
        <f t="shared" si="2"/>
        <v>103</v>
      </c>
      <c r="F13" s="52">
        <v>6000</v>
      </c>
      <c r="G13" s="53">
        <f t="shared" si="3"/>
        <v>4603</v>
      </c>
      <c r="H13" s="1"/>
    </row>
    <row r="14" spans="1:8" x14ac:dyDescent="0.15">
      <c r="A14" s="50" t="s">
        <v>46</v>
      </c>
      <c r="B14" s="51">
        <f t="shared" si="0"/>
        <v>3.8538844233798517E-3</v>
      </c>
      <c r="C14" s="52">
        <v>421.38</v>
      </c>
      <c r="D14" s="52">
        <f t="shared" si="1"/>
        <v>1250</v>
      </c>
      <c r="E14" s="52">
        <f t="shared" si="2"/>
        <v>828.62</v>
      </c>
      <c r="F14" s="52">
        <v>5000</v>
      </c>
      <c r="G14" s="52">
        <f t="shared" si="3"/>
        <v>4578.62</v>
      </c>
      <c r="H14" s="1"/>
    </row>
    <row r="15" spans="1:8" x14ac:dyDescent="0.15">
      <c r="A15" s="50" t="s">
        <v>47</v>
      </c>
      <c r="B15" s="51">
        <f t="shared" si="0"/>
        <v>1.7459455513389666E-2</v>
      </c>
      <c r="C15" s="52">
        <v>1909</v>
      </c>
      <c r="D15" s="52">
        <f t="shared" si="1"/>
        <v>2500</v>
      </c>
      <c r="E15" s="53">
        <f t="shared" si="2"/>
        <v>591</v>
      </c>
      <c r="F15" s="52">
        <v>10000</v>
      </c>
      <c r="G15" s="53">
        <f t="shared" si="3"/>
        <v>8091</v>
      </c>
      <c r="H15" s="1"/>
    </row>
    <row r="16" spans="1:8" x14ac:dyDescent="0.15">
      <c r="A16" s="50" t="s">
        <v>48</v>
      </c>
      <c r="B16" s="51">
        <f t="shared" si="0"/>
        <v>2.1723074670661532E-2</v>
      </c>
      <c r="C16" s="52">
        <v>2375.1799999999998</v>
      </c>
      <c r="D16" s="52">
        <f t="shared" si="1"/>
        <v>625</v>
      </c>
      <c r="E16" s="53">
        <f t="shared" si="2"/>
        <v>-1750.1799999999998</v>
      </c>
      <c r="F16" s="52">
        <v>2500</v>
      </c>
      <c r="G16" s="53">
        <f t="shared" si="3"/>
        <v>124.82000000000016</v>
      </c>
      <c r="H16" s="1"/>
    </row>
    <row r="17" spans="1:8" x14ac:dyDescent="0.15">
      <c r="A17" s="50" t="s">
        <v>49</v>
      </c>
      <c r="B17" s="51">
        <f t="shared" si="0"/>
        <v>9.4540802326825029E-4</v>
      </c>
      <c r="C17" s="52">
        <v>103.37</v>
      </c>
      <c r="D17" s="52">
        <f t="shared" si="1"/>
        <v>125</v>
      </c>
      <c r="E17" s="53">
        <f t="shared" si="2"/>
        <v>21.629999999999995</v>
      </c>
      <c r="F17" s="52">
        <v>500</v>
      </c>
      <c r="G17" s="53">
        <f t="shared" si="3"/>
        <v>396.63</v>
      </c>
      <c r="H17" s="1"/>
    </row>
    <row r="18" spans="1:8" x14ac:dyDescent="0.15">
      <c r="A18" s="50" t="s">
        <v>50</v>
      </c>
      <c r="B18" s="51">
        <f t="shared" si="0"/>
        <v>0</v>
      </c>
      <c r="C18" s="52"/>
      <c r="D18" s="52">
        <f t="shared" si="1"/>
        <v>175</v>
      </c>
      <c r="E18" s="53">
        <f t="shared" si="2"/>
        <v>175</v>
      </c>
      <c r="F18" s="52">
        <v>700</v>
      </c>
      <c r="G18" s="53">
        <f t="shared" si="3"/>
        <v>700</v>
      </c>
      <c r="H18" s="1"/>
    </row>
    <row r="19" spans="1:8" x14ac:dyDescent="0.15">
      <c r="A19" s="50" t="s">
        <v>51</v>
      </c>
      <c r="B19" s="51">
        <f t="shared" si="0"/>
        <v>7.2160871660892855E-4</v>
      </c>
      <c r="C19" s="52">
        <v>78.900000000000006</v>
      </c>
      <c r="D19" s="52">
        <f t="shared" si="1"/>
        <v>750</v>
      </c>
      <c r="E19" s="53">
        <f t="shared" si="2"/>
        <v>671.1</v>
      </c>
      <c r="F19" s="52">
        <v>3000</v>
      </c>
      <c r="G19" s="53">
        <f t="shared" si="3"/>
        <v>2921.1</v>
      </c>
      <c r="H19" s="1"/>
    </row>
    <row r="20" spans="1:8" x14ac:dyDescent="0.15">
      <c r="A20" s="50" t="s">
        <v>52</v>
      </c>
      <c r="B20" s="51">
        <f t="shared" si="0"/>
        <v>3.287938322191506E-4</v>
      </c>
      <c r="C20" s="52">
        <v>35.950000000000003</v>
      </c>
      <c r="D20" s="52">
        <f t="shared" si="1"/>
        <v>125</v>
      </c>
      <c r="E20" s="53">
        <f t="shared" si="2"/>
        <v>89.05</v>
      </c>
      <c r="F20" s="52">
        <v>500</v>
      </c>
      <c r="G20" s="53">
        <f t="shared" si="3"/>
        <v>464.05</v>
      </c>
      <c r="H20" s="1"/>
    </row>
    <row r="21" spans="1:8" x14ac:dyDescent="0.15">
      <c r="A21" s="50" t="s">
        <v>53</v>
      </c>
      <c r="B21" s="51">
        <f t="shared" si="0"/>
        <v>0</v>
      </c>
      <c r="C21" s="52"/>
      <c r="D21" s="52">
        <f t="shared" si="1"/>
        <v>0</v>
      </c>
      <c r="E21" s="53">
        <f t="shared" si="2"/>
        <v>0</v>
      </c>
      <c r="F21" s="52">
        <v>0</v>
      </c>
      <c r="G21" s="53">
        <f t="shared" si="3"/>
        <v>0</v>
      </c>
      <c r="H21" s="1"/>
    </row>
    <row r="22" spans="1:8" x14ac:dyDescent="0.15">
      <c r="A22" s="50" t="s">
        <v>54</v>
      </c>
      <c r="B22" s="51">
        <f t="shared" si="0"/>
        <v>0</v>
      </c>
      <c r="C22" s="52"/>
      <c r="D22" s="52">
        <f t="shared" si="1"/>
        <v>375</v>
      </c>
      <c r="E22" s="53">
        <f t="shared" si="2"/>
        <v>375</v>
      </c>
      <c r="F22" s="52">
        <v>1500</v>
      </c>
      <c r="G22" s="53">
        <f t="shared" si="3"/>
        <v>1500</v>
      </c>
      <c r="H22" s="1"/>
    </row>
    <row r="23" spans="1:8" x14ac:dyDescent="0.15">
      <c r="A23" s="50" t="s">
        <v>55</v>
      </c>
      <c r="B23" s="51">
        <f t="shared" si="0"/>
        <v>2.2864661489509774E-2</v>
      </c>
      <c r="C23" s="54">
        <v>2500</v>
      </c>
      <c r="D23" s="54">
        <f t="shared" si="1"/>
        <v>1000</v>
      </c>
      <c r="E23" s="54">
        <f t="shared" si="2"/>
        <v>-1500</v>
      </c>
      <c r="F23" s="54">
        <v>4000</v>
      </c>
      <c r="G23" s="54">
        <f t="shared" si="3"/>
        <v>1500</v>
      </c>
      <c r="H23" s="1"/>
    </row>
    <row r="24" spans="1:8" x14ac:dyDescent="0.15">
      <c r="A24" s="45" t="s">
        <v>56</v>
      </c>
      <c r="B24" s="46">
        <f t="shared" ref="B24:G24" si="4">SUM(B12:B23)</f>
        <v>0.12489546962706842</v>
      </c>
      <c r="C24" s="54">
        <f t="shared" si="4"/>
        <v>13655.95</v>
      </c>
      <c r="D24" s="54">
        <f t="shared" si="4"/>
        <v>9800</v>
      </c>
      <c r="E24" s="54">
        <f t="shared" si="4"/>
        <v>-3855.95</v>
      </c>
      <c r="F24" s="54">
        <f t="shared" si="4"/>
        <v>39200</v>
      </c>
      <c r="G24" s="55">
        <f t="shared" si="4"/>
        <v>25544.05</v>
      </c>
      <c r="H24" s="1"/>
    </row>
    <row r="25" spans="1:8" x14ac:dyDescent="0.15">
      <c r="A25" s="45" t="s">
        <v>57</v>
      </c>
      <c r="B25" s="37"/>
      <c r="C25" s="53"/>
      <c r="D25" s="53"/>
      <c r="E25" s="53"/>
      <c r="F25" s="53"/>
      <c r="G25" s="53"/>
      <c r="H25" s="1"/>
    </row>
    <row r="26" spans="1:8" x14ac:dyDescent="0.15">
      <c r="A26" s="50" t="s">
        <v>58</v>
      </c>
      <c r="B26" s="51">
        <f>+C26/$C$45</f>
        <v>1.4489793279132135E-2</v>
      </c>
      <c r="C26" s="52">
        <v>1584.3</v>
      </c>
      <c r="D26" s="53">
        <f>F26/12*3</f>
        <v>405</v>
      </c>
      <c r="E26" s="53">
        <f>D26-C26</f>
        <v>-1179.3</v>
      </c>
      <c r="F26" s="52">
        <f>16200*0.1</f>
        <v>1620</v>
      </c>
      <c r="G26" s="53">
        <f>F26-C26</f>
        <v>35.700000000000045</v>
      </c>
      <c r="H26" s="1"/>
    </row>
    <row r="27" spans="1:8" x14ac:dyDescent="0.15">
      <c r="A27" s="50" t="s">
        <v>59</v>
      </c>
      <c r="B27" s="51">
        <f>+C27/$C$45</f>
        <v>1.2391457564916842E-2</v>
      </c>
      <c r="C27" s="52">
        <v>1354.87</v>
      </c>
      <c r="D27" s="53">
        <f>F27/12*3</f>
        <v>270</v>
      </c>
      <c r="E27" s="53">
        <f>D27-C27</f>
        <v>-1084.8699999999999</v>
      </c>
      <c r="F27" s="52">
        <f>10800*0.1</f>
        <v>1080</v>
      </c>
      <c r="G27" s="53">
        <f>F27-C27</f>
        <v>-274.86999999999989</v>
      </c>
      <c r="H27" s="1"/>
    </row>
    <row r="28" spans="1:8" x14ac:dyDescent="0.15">
      <c r="A28" s="50" t="s">
        <v>60</v>
      </c>
      <c r="B28" s="51">
        <f>+C28/$C$45</f>
        <v>1.3897598546553832E-2</v>
      </c>
      <c r="C28" s="52">
        <v>1519.55</v>
      </c>
      <c r="D28" s="52">
        <f>F28/12*3</f>
        <v>270</v>
      </c>
      <c r="E28" s="52">
        <f>D28-C28</f>
        <v>-1249.55</v>
      </c>
      <c r="F28" s="52">
        <f>10800*0.1</f>
        <v>1080</v>
      </c>
      <c r="G28" s="52">
        <f>F28-C28</f>
        <v>-439.54999999999995</v>
      </c>
      <c r="H28" s="1"/>
    </row>
    <row r="29" spans="1:8" x14ac:dyDescent="0.15">
      <c r="A29" s="50" t="s">
        <v>103</v>
      </c>
      <c r="B29" s="51">
        <f>+C29/$C$45</f>
        <v>1.2198845656529213E-2</v>
      </c>
      <c r="C29" s="52">
        <v>1333.81</v>
      </c>
      <c r="D29" s="52">
        <f>F29/12*3</f>
        <v>0</v>
      </c>
      <c r="E29" s="52"/>
      <c r="F29" s="52"/>
      <c r="G29" s="52"/>
      <c r="H29" s="1"/>
    </row>
    <row r="30" spans="1:8" x14ac:dyDescent="0.15">
      <c r="A30" s="45" t="s">
        <v>61</v>
      </c>
      <c r="B30" s="46">
        <f t="shared" ref="B30:G30" si="5">SUM(B26:B29)</f>
        <v>5.2977695047132026E-2</v>
      </c>
      <c r="C30" s="66">
        <f t="shared" si="5"/>
        <v>5792.5300000000007</v>
      </c>
      <c r="D30" s="47">
        <f t="shared" si="5"/>
        <v>945</v>
      </c>
      <c r="E30" s="47">
        <f t="shared" si="5"/>
        <v>-3513.7200000000003</v>
      </c>
      <c r="F30" s="47">
        <f t="shared" si="5"/>
        <v>3780</v>
      </c>
      <c r="G30" s="48">
        <f t="shared" si="5"/>
        <v>-678.7199999999998</v>
      </c>
      <c r="H30" s="1"/>
    </row>
    <row r="31" spans="1:8" x14ac:dyDescent="0.15">
      <c r="A31" s="45" t="s">
        <v>62</v>
      </c>
      <c r="B31" s="37"/>
      <c r="C31" s="53"/>
      <c r="D31" s="53"/>
      <c r="E31" s="53"/>
      <c r="F31" s="53"/>
      <c r="G31" s="53"/>
      <c r="H31" s="1"/>
    </row>
    <row r="32" spans="1:8" x14ac:dyDescent="0.15">
      <c r="A32" s="50" t="s">
        <v>63</v>
      </c>
      <c r="B32" s="51">
        <f t="shared" ref="B32:B37" si="6">+C32/$C$45</f>
        <v>0.2136470311233955</v>
      </c>
      <c r="C32" s="52">
        <v>23359.96</v>
      </c>
      <c r="D32" s="53">
        <f t="shared" ref="D32:D37" si="7">F32/12*3</f>
        <v>1600</v>
      </c>
      <c r="E32" s="53">
        <f t="shared" ref="E32:E37" si="8">D32-C32</f>
        <v>-21759.96</v>
      </c>
      <c r="F32" s="52">
        <f>64000*0.1</f>
        <v>6400</v>
      </c>
      <c r="G32" s="53">
        <f t="shared" ref="G32:G37" si="9">F32-C32</f>
        <v>-16959.96</v>
      </c>
      <c r="H32" s="1"/>
    </row>
    <row r="33" spans="1:8" x14ac:dyDescent="0.15">
      <c r="A33" s="50" t="s">
        <v>64</v>
      </c>
      <c r="B33" s="51">
        <f t="shared" si="6"/>
        <v>1.480715478060653E-2</v>
      </c>
      <c r="C33" s="52">
        <v>1619</v>
      </c>
      <c r="D33" s="53">
        <f t="shared" si="7"/>
        <v>2500</v>
      </c>
      <c r="E33" s="53">
        <f t="shared" si="8"/>
        <v>881</v>
      </c>
      <c r="F33" s="52">
        <v>10000</v>
      </c>
      <c r="G33" s="53">
        <f t="shared" si="9"/>
        <v>8381</v>
      </c>
      <c r="H33" s="1"/>
    </row>
    <row r="34" spans="1:8" x14ac:dyDescent="0.15">
      <c r="A34" s="50" t="s">
        <v>65</v>
      </c>
      <c r="B34" s="51">
        <f t="shared" si="6"/>
        <v>0</v>
      </c>
      <c r="C34" s="52">
        <v>0</v>
      </c>
      <c r="D34" s="53">
        <f t="shared" si="7"/>
        <v>375</v>
      </c>
      <c r="E34" s="52">
        <f t="shared" si="8"/>
        <v>375</v>
      </c>
      <c r="F34" s="52">
        <v>1500</v>
      </c>
      <c r="G34" s="52">
        <f t="shared" si="9"/>
        <v>1500</v>
      </c>
      <c r="H34" s="1"/>
    </row>
    <row r="35" spans="1:8" x14ac:dyDescent="0.15">
      <c r="A35" s="50" t="s">
        <v>66</v>
      </c>
      <c r="B35" s="51">
        <f t="shared" si="6"/>
        <v>1.8297399627657217E-2</v>
      </c>
      <c r="C35" s="52">
        <v>2000.62</v>
      </c>
      <c r="D35" s="53">
        <f t="shared" si="7"/>
        <v>750</v>
      </c>
      <c r="E35" s="53">
        <f t="shared" si="8"/>
        <v>-1250.6199999999999</v>
      </c>
      <c r="F35" s="52">
        <v>3000</v>
      </c>
      <c r="G35" s="53">
        <f t="shared" si="9"/>
        <v>999.38000000000011</v>
      </c>
      <c r="H35" s="1"/>
    </row>
    <row r="36" spans="1:8" x14ac:dyDescent="0.15">
      <c r="A36" s="50" t="s">
        <v>67</v>
      </c>
      <c r="B36" s="51">
        <f t="shared" si="6"/>
        <v>0</v>
      </c>
      <c r="C36" s="52">
        <v>0</v>
      </c>
      <c r="D36" s="53">
        <f t="shared" si="7"/>
        <v>250</v>
      </c>
      <c r="E36" s="53">
        <f t="shared" si="8"/>
        <v>250</v>
      </c>
      <c r="F36" s="52">
        <v>1000</v>
      </c>
      <c r="G36" s="53">
        <f t="shared" si="9"/>
        <v>1000</v>
      </c>
      <c r="H36" s="1"/>
    </row>
    <row r="37" spans="1:8" x14ac:dyDescent="0.15">
      <c r="A37" s="50" t="s">
        <v>68</v>
      </c>
      <c r="B37" s="51">
        <f t="shared" si="6"/>
        <v>1.242008412110171E-2</v>
      </c>
      <c r="C37" s="54">
        <v>1358</v>
      </c>
      <c r="D37" s="54">
        <f t="shared" si="7"/>
        <v>300</v>
      </c>
      <c r="E37" s="54">
        <f t="shared" si="8"/>
        <v>-1058</v>
      </c>
      <c r="F37" s="54">
        <v>1200</v>
      </c>
      <c r="G37" s="54">
        <f t="shared" si="9"/>
        <v>-158</v>
      </c>
      <c r="H37" s="1"/>
    </row>
    <row r="38" spans="1:8" x14ac:dyDescent="0.15">
      <c r="A38" s="45" t="s">
        <v>69</v>
      </c>
      <c r="B38" s="46">
        <f t="shared" ref="B38:G38" si="10">SUM(B32:B37)</f>
        <v>0.25917166965276095</v>
      </c>
      <c r="C38" s="54">
        <f t="shared" si="10"/>
        <v>28337.579999999998</v>
      </c>
      <c r="D38" s="54">
        <f t="shared" si="10"/>
        <v>5775</v>
      </c>
      <c r="E38" s="54">
        <f t="shared" si="10"/>
        <v>-22562.579999999998</v>
      </c>
      <c r="F38" s="54">
        <f t="shared" si="10"/>
        <v>23100</v>
      </c>
      <c r="G38" s="55">
        <f t="shared" si="10"/>
        <v>-5237.579999999999</v>
      </c>
      <c r="H38" s="1"/>
    </row>
    <row r="39" spans="1:8" x14ac:dyDescent="0.15">
      <c r="A39" s="45" t="s">
        <v>70</v>
      </c>
      <c r="B39" s="37"/>
      <c r="C39" s="53"/>
      <c r="D39" s="53"/>
      <c r="E39" s="53"/>
      <c r="F39" s="53"/>
      <c r="G39" s="53"/>
      <c r="H39" s="1"/>
    </row>
    <row r="40" spans="1:8" x14ac:dyDescent="0.15">
      <c r="A40" s="50" t="s">
        <v>71</v>
      </c>
      <c r="B40" s="51">
        <f>+C40/$C$45</f>
        <v>0.12060459579330103</v>
      </c>
      <c r="C40" s="54">
        <f>10323.4+2863.39</f>
        <v>13186.789999999999</v>
      </c>
      <c r="D40" s="54">
        <f>F40/12*3</f>
        <v>12500</v>
      </c>
      <c r="E40" s="54">
        <f>D40-C40</f>
        <v>-686.78999999999905</v>
      </c>
      <c r="F40" s="54">
        <v>50000</v>
      </c>
      <c r="G40" s="54">
        <f>F40-C40</f>
        <v>36813.21</v>
      </c>
      <c r="H40" s="1"/>
    </row>
    <row r="41" spans="1:8" x14ac:dyDescent="0.15">
      <c r="A41" s="45" t="s">
        <v>72</v>
      </c>
      <c r="B41" s="46">
        <f>SUM(B40)</f>
        <v>0.12060459579330103</v>
      </c>
      <c r="C41" s="54">
        <f>SUM(C40:C40)</f>
        <v>13186.789999999999</v>
      </c>
      <c r="D41" s="54">
        <f>SUM(D40:D40)</f>
        <v>12500</v>
      </c>
      <c r="E41" s="54">
        <f>SUM(E40:E40)</f>
        <v>-686.78999999999905</v>
      </c>
      <c r="F41" s="54">
        <f>SUM(F40:F40)</f>
        <v>50000</v>
      </c>
      <c r="G41" s="55">
        <f>SUM(G40:G40)</f>
        <v>36813.21</v>
      </c>
      <c r="H41" s="1"/>
    </row>
    <row r="42" spans="1:8" x14ac:dyDescent="0.15">
      <c r="A42" s="45" t="s">
        <v>73</v>
      </c>
      <c r="B42" s="37"/>
      <c r="C42" s="53"/>
      <c r="D42" s="53"/>
      <c r="E42" s="53"/>
      <c r="F42" s="53"/>
      <c r="G42" s="53"/>
      <c r="H42" s="1"/>
    </row>
    <row r="43" spans="1:8" x14ac:dyDescent="0.15">
      <c r="A43" s="50" t="s">
        <v>74</v>
      </c>
      <c r="B43" s="51">
        <f>+C43/$C$45</f>
        <v>0.10552319311692474</v>
      </c>
      <c r="C43" s="54">
        <f>+'income statement'!F32*0.2</f>
        <v>11537.804</v>
      </c>
      <c r="D43" s="54" t="e">
        <f>F43/12*3</f>
        <v>#REF!</v>
      </c>
      <c r="E43" s="54" t="e">
        <f>D43-C43</f>
        <v>#REF!</v>
      </c>
      <c r="F43" s="54" t="e">
        <f>+'income statement'!#REF!*0.2</f>
        <v>#REF!</v>
      </c>
      <c r="G43" s="54" t="e">
        <f>F43-C43</f>
        <v>#REF!</v>
      </c>
      <c r="H43" s="1"/>
    </row>
    <row r="44" spans="1:8" x14ac:dyDescent="0.15">
      <c r="A44" s="45" t="s">
        <v>75</v>
      </c>
      <c r="B44" s="46">
        <f>SUM(B43)</f>
        <v>0.10552319311692474</v>
      </c>
      <c r="C44" s="53">
        <f>+C43</f>
        <v>11537.804</v>
      </c>
      <c r="D44" s="53" t="e">
        <f>+D43</f>
        <v>#REF!</v>
      </c>
      <c r="E44" s="53" t="e">
        <f>+E43</f>
        <v>#REF!</v>
      </c>
      <c r="F44" s="53" t="e">
        <f>+F43</f>
        <v>#REF!</v>
      </c>
      <c r="G44" s="56" t="e">
        <f>+G43</f>
        <v>#REF!</v>
      </c>
      <c r="H44" s="1"/>
    </row>
    <row r="45" spans="1:8" ht="15" x14ac:dyDescent="0.2">
      <c r="A45" s="57" t="s">
        <v>76</v>
      </c>
      <c r="B45" s="58">
        <f>+C45/C72</f>
        <v>0.23181916876510378</v>
      </c>
      <c r="C45" s="59">
        <f>+C44+C41+C38+C30+C24+C10</f>
        <v>109339.034</v>
      </c>
      <c r="D45" s="59" t="e">
        <f>+D44+D41+D38+D30+D24+D10</f>
        <v>#REF!</v>
      </c>
      <c r="E45" s="59" t="e">
        <f>+E44+E41+E38+E30+E24+E10</f>
        <v>#REF!</v>
      </c>
      <c r="F45" s="59" t="e">
        <f>+F44+F41+F38+F30+F24+F10</f>
        <v>#REF!</v>
      </c>
      <c r="G45" s="60" t="e">
        <f>+G44+G41+G38+G30+G24+G10</f>
        <v>#REF!</v>
      </c>
      <c r="H45" s="1"/>
    </row>
    <row r="46" spans="1:8" x14ac:dyDescent="0.15">
      <c r="A46" s="12"/>
      <c r="B46" s="12"/>
      <c r="C46" s="61"/>
      <c r="D46" s="61"/>
      <c r="E46" s="61"/>
      <c r="F46" s="61"/>
      <c r="G46" s="61"/>
      <c r="H46" s="1"/>
    </row>
    <row r="47" spans="1:8" x14ac:dyDescent="0.15">
      <c r="A47" s="62" t="s">
        <v>77</v>
      </c>
      <c r="B47" s="63"/>
      <c r="C47" s="64"/>
      <c r="D47" s="64"/>
      <c r="E47" s="64"/>
      <c r="F47" s="64"/>
      <c r="G47" s="65"/>
      <c r="H47" s="1"/>
    </row>
    <row r="48" spans="1:8" x14ac:dyDescent="0.15">
      <c r="A48" s="45" t="s">
        <v>42</v>
      </c>
      <c r="B48" s="46">
        <f>+C48/$C$70</f>
        <v>0.13537597584015362</v>
      </c>
      <c r="C48" s="54">
        <f>26326.64+10461.05+356.99+8525.99+3378.42</f>
        <v>49049.09</v>
      </c>
      <c r="D48" s="54" t="e">
        <f>F48/12*3</f>
        <v>#REF!</v>
      </c>
      <c r="E48" s="54" t="e">
        <f>+D48-C48</f>
        <v>#REF!</v>
      </c>
      <c r="F48" s="54" t="e">
        <f>+'income statement'!#REF!*0.63</f>
        <v>#REF!</v>
      </c>
      <c r="G48" s="55" t="e">
        <f>+F48-C48</f>
        <v>#REF!</v>
      </c>
      <c r="H48" s="1"/>
    </row>
    <row r="49" spans="1:8" x14ac:dyDescent="0.15">
      <c r="A49" s="45" t="s">
        <v>57</v>
      </c>
      <c r="B49" s="49"/>
      <c r="C49" s="53"/>
      <c r="D49" s="53"/>
      <c r="E49" s="53"/>
      <c r="F49" s="53"/>
      <c r="G49" s="53"/>
      <c r="H49" s="1"/>
    </row>
    <row r="50" spans="1:8" x14ac:dyDescent="0.15">
      <c r="A50" s="50" t="s">
        <v>78</v>
      </c>
      <c r="B50" s="51">
        <f>+C50/$C$70</f>
        <v>1.1943473804149516E-2</v>
      </c>
      <c r="C50" s="53">
        <v>4327.33</v>
      </c>
      <c r="D50" s="53">
        <f>F50/12*3</f>
        <v>3645</v>
      </c>
      <c r="E50" s="53">
        <f>+D50-C50</f>
        <v>-682.32999999999993</v>
      </c>
      <c r="F50" s="53">
        <f>16200*0.9</f>
        <v>14580</v>
      </c>
      <c r="G50" s="53">
        <f>+F50-C50</f>
        <v>10252.67</v>
      </c>
      <c r="H50" s="1"/>
    </row>
    <row r="51" spans="1:8" x14ac:dyDescent="0.15">
      <c r="A51" s="50" t="s">
        <v>79</v>
      </c>
      <c r="B51" s="51">
        <f>+C51/$C$70</f>
        <v>3.1740114284725093E-4</v>
      </c>
      <c r="C51" s="53">
        <v>115</v>
      </c>
      <c r="D51" s="53">
        <f>F51/12*3</f>
        <v>2430</v>
      </c>
      <c r="E51" s="53">
        <f>+D51-C51</f>
        <v>2315</v>
      </c>
      <c r="F51" s="53">
        <f>10800*0.9</f>
        <v>9720</v>
      </c>
      <c r="G51" s="53">
        <f>+F51-C51</f>
        <v>9605</v>
      </c>
      <c r="H51" s="1"/>
    </row>
    <row r="52" spans="1:8" x14ac:dyDescent="0.15">
      <c r="A52" s="50" t="s">
        <v>80</v>
      </c>
      <c r="B52" s="51">
        <f>+C52/$C$70</f>
        <v>1.4355694889689243E-2</v>
      </c>
      <c r="C52" s="53">
        <v>5201.32</v>
      </c>
      <c r="D52" s="53">
        <f>F52/12*3</f>
        <v>2430</v>
      </c>
      <c r="E52" s="53">
        <f>+D52-C52</f>
        <v>-2771.3199999999997</v>
      </c>
      <c r="F52" s="53">
        <f>10800*0.9</f>
        <v>9720</v>
      </c>
      <c r="G52" s="53">
        <f>+F52-C52</f>
        <v>4518.68</v>
      </c>
      <c r="H52" s="1"/>
    </row>
    <row r="53" spans="1:8" x14ac:dyDescent="0.15">
      <c r="A53" s="50" t="s">
        <v>81</v>
      </c>
      <c r="B53" s="51">
        <f>+C53/$C$70</f>
        <v>0</v>
      </c>
      <c r="C53" s="54">
        <v>0</v>
      </c>
      <c r="D53" s="54">
        <f>F53/12*3</f>
        <v>1957.5</v>
      </c>
      <c r="E53" s="54">
        <f>+D53-C53</f>
        <v>1957.5</v>
      </c>
      <c r="F53" s="54">
        <v>7830</v>
      </c>
      <c r="G53" s="54">
        <f>+F53-C53</f>
        <v>7830</v>
      </c>
      <c r="H53" s="1"/>
    </row>
    <row r="54" spans="1:8" x14ac:dyDescent="0.15">
      <c r="A54" s="45" t="s">
        <v>61</v>
      </c>
      <c r="B54" s="46">
        <f t="shared" ref="B54:G54" si="11">SUM(B50:B53)</f>
        <v>2.6616569836686012E-2</v>
      </c>
      <c r="C54" s="66">
        <f t="shared" si="11"/>
        <v>9643.65</v>
      </c>
      <c r="D54" s="47">
        <f t="shared" si="11"/>
        <v>10462.5</v>
      </c>
      <c r="E54" s="47">
        <f t="shared" si="11"/>
        <v>818.85000000000036</v>
      </c>
      <c r="F54" s="47">
        <f t="shared" si="11"/>
        <v>41850</v>
      </c>
      <c r="G54" s="48">
        <f t="shared" si="11"/>
        <v>32206.35</v>
      </c>
      <c r="H54" s="1"/>
    </row>
    <row r="55" spans="1:8" x14ac:dyDescent="0.15">
      <c r="A55" s="45" t="s">
        <v>62</v>
      </c>
      <c r="B55" s="49"/>
      <c r="C55" s="53"/>
      <c r="D55" s="53"/>
      <c r="E55" s="53"/>
      <c r="F55" s="53"/>
      <c r="G55" s="53"/>
      <c r="H55" s="1"/>
    </row>
    <row r="56" spans="1:8" x14ac:dyDescent="0.15">
      <c r="A56" s="50" t="s">
        <v>82</v>
      </c>
      <c r="B56" s="51">
        <f t="shared" ref="B56:B61" si="12">+C56/$C$70</f>
        <v>2.6689296098547097E-3</v>
      </c>
      <c r="C56" s="53">
        <v>967</v>
      </c>
      <c r="D56" s="53">
        <f t="shared" ref="D56:D63" si="13">F56/12*3</f>
        <v>14400</v>
      </c>
      <c r="E56" s="53">
        <f>+D56-C56</f>
        <v>13433</v>
      </c>
      <c r="F56" s="53">
        <f>64000*0.9</f>
        <v>57600</v>
      </c>
      <c r="G56" s="53">
        <f>+F56-C56</f>
        <v>56633</v>
      </c>
      <c r="H56" s="1"/>
    </row>
    <row r="57" spans="1:8" x14ac:dyDescent="0.15">
      <c r="A57" s="50" t="s">
        <v>83</v>
      </c>
      <c r="B57" s="51">
        <f t="shared" si="12"/>
        <v>9.0523909944011088E-3</v>
      </c>
      <c r="C57" s="53">
        <f>1684.68+1595.16</f>
        <v>3279.84</v>
      </c>
      <c r="D57" s="53">
        <f t="shared" si="13"/>
        <v>2000</v>
      </c>
      <c r="E57" s="53">
        <f t="shared" ref="E57:E62" si="14">D57-C57</f>
        <v>-1279.8400000000001</v>
      </c>
      <c r="F57" s="53">
        <v>8000</v>
      </c>
      <c r="G57" s="53">
        <f t="shared" ref="G57:G62" si="15">F57-C57</f>
        <v>4720.16</v>
      </c>
      <c r="H57" s="1"/>
    </row>
    <row r="58" spans="1:8" x14ac:dyDescent="0.15">
      <c r="A58" s="50" t="s">
        <v>84</v>
      </c>
      <c r="B58" s="51">
        <f t="shared" si="12"/>
        <v>5.4970841930212276E-3</v>
      </c>
      <c r="C58" s="53">
        <v>1991.69</v>
      </c>
      <c r="D58" s="53">
        <f t="shared" si="13"/>
        <v>1750</v>
      </c>
      <c r="E58" s="53">
        <f t="shared" si="14"/>
        <v>-241.69000000000005</v>
      </c>
      <c r="F58" s="53">
        <v>7000</v>
      </c>
      <c r="G58" s="53">
        <f t="shared" si="15"/>
        <v>5008.3099999999995</v>
      </c>
      <c r="H58" s="1"/>
    </row>
    <row r="59" spans="1:8" x14ac:dyDescent="0.15">
      <c r="A59" s="50" t="s">
        <v>85</v>
      </c>
      <c r="B59" s="51">
        <f t="shared" si="12"/>
        <v>5.2874338381457735E-3</v>
      </c>
      <c r="C59" s="53">
        <f>1321.73+594</f>
        <v>1915.73</v>
      </c>
      <c r="D59" s="53">
        <f t="shared" si="13"/>
        <v>2750</v>
      </c>
      <c r="E59" s="53">
        <f t="shared" si="14"/>
        <v>834.27</v>
      </c>
      <c r="F59" s="53">
        <v>11000</v>
      </c>
      <c r="G59" s="53">
        <f t="shared" si="15"/>
        <v>9084.27</v>
      </c>
      <c r="H59" s="1"/>
    </row>
    <row r="60" spans="1:8" x14ac:dyDescent="0.15">
      <c r="A60" s="50" t="s">
        <v>86</v>
      </c>
      <c r="B60" s="51">
        <f t="shared" si="12"/>
        <v>9.9509950299507422E-3</v>
      </c>
      <c r="C60" s="53">
        <f>3394.42+211</f>
        <v>3605.42</v>
      </c>
      <c r="D60" s="53">
        <f t="shared" si="13"/>
        <v>1800</v>
      </c>
      <c r="E60" s="53">
        <f t="shared" si="14"/>
        <v>-1805.42</v>
      </c>
      <c r="F60" s="53">
        <v>7200</v>
      </c>
      <c r="G60" s="53">
        <f t="shared" si="15"/>
        <v>3594.58</v>
      </c>
      <c r="H60" s="1"/>
    </row>
    <row r="61" spans="1:8" x14ac:dyDescent="0.15">
      <c r="A61" s="50" t="s">
        <v>87</v>
      </c>
      <c r="B61" s="51">
        <f t="shared" si="12"/>
        <v>1.0787443641701071E-2</v>
      </c>
      <c r="C61" s="53">
        <f>-293.52+4202</f>
        <v>3908.48</v>
      </c>
      <c r="D61" s="53">
        <f t="shared" si="13"/>
        <v>1500</v>
      </c>
      <c r="E61" s="53">
        <f t="shared" si="14"/>
        <v>-2408.48</v>
      </c>
      <c r="F61" s="53">
        <v>6000</v>
      </c>
      <c r="G61" s="53">
        <f t="shared" si="15"/>
        <v>2091.52</v>
      </c>
      <c r="H61" s="1"/>
    </row>
    <row r="62" spans="1:8" x14ac:dyDescent="0.15">
      <c r="A62" s="50" t="s">
        <v>88</v>
      </c>
      <c r="B62" s="51">
        <f>+C62/$C$70</f>
        <v>0</v>
      </c>
      <c r="C62" s="53">
        <v>0</v>
      </c>
      <c r="D62" s="52">
        <f t="shared" si="13"/>
        <v>750</v>
      </c>
      <c r="E62" s="52">
        <f t="shared" si="14"/>
        <v>750</v>
      </c>
      <c r="F62" s="53">
        <v>3000</v>
      </c>
      <c r="G62" s="52">
        <f t="shared" si="15"/>
        <v>3000</v>
      </c>
    </row>
    <row r="63" spans="1:8" x14ac:dyDescent="0.15">
      <c r="A63" s="50" t="s">
        <v>105</v>
      </c>
      <c r="B63" s="51">
        <f>+C63/$C$70</f>
        <v>4.2896074453321507E-4</v>
      </c>
      <c r="C63" s="53">
        <v>155.41999999999999</v>
      </c>
      <c r="D63" s="52">
        <f t="shared" si="13"/>
        <v>0</v>
      </c>
    </row>
    <row r="64" spans="1:8" x14ac:dyDescent="0.15">
      <c r="A64" s="45" t="s">
        <v>69</v>
      </c>
      <c r="B64" s="46">
        <f t="shared" ref="B64:G64" si="16">SUM(B56:B63)</f>
        <v>4.3673238051607839E-2</v>
      </c>
      <c r="C64" s="66">
        <f t="shared" si="16"/>
        <v>15823.58</v>
      </c>
      <c r="D64" s="47">
        <f t="shared" si="16"/>
        <v>24950</v>
      </c>
      <c r="E64" s="47">
        <f t="shared" si="16"/>
        <v>9281.84</v>
      </c>
      <c r="F64" s="47">
        <f t="shared" si="16"/>
        <v>99800</v>
      </c>
      <c r="G64" s="48">
        <f t="shared" si="16"/>
        <v>84131.840000000011</v>
      </c>
    </row>
    <row r="65" spans="1:10" x14ac:dyDescent="0.15">
      <c r="A65" s="67" t="s">
        <v>73</v>
      </c>
      <c r="B65" s="49"/>
      <c r="C65" s="53"/>
      <c r="D65" s="53"/>
      <c r="E65" s="53"/>
      <c r="F65" s="53"/>
      <c r="G65" s="53"/>
    </row>
    <row r="66" spans="1:10" x14ac:dyDescent="0.15">
      <c r="A66" s="50" t="s">
        <v>89</v>
      </c>
      <c r="B66" s="51">
        <f>+C66/$C$70</f>
        <v>0.17940064595714181</v>
      </c>
      <c r="C66" s="53">
        <f>+'income statement'!F31</f>
        <v>65000</v>
      </c>
      <c r="D66" s="52" t="e">
        <f>F66/12*3</f>
        <v>#REF!</v>
      </c>
      <c r="E66" s="53" t="e">
        <f>D66-C66</f>
        <v>#REF!</v>
      </c>
      <c r="F66" s="53" t="e">
        <f>+'income statement'!#REF!</f>
        <v>#REF!</v>
      </c>
      <c r="G66" s="53" t="e">
        <f>F66-C66</f>
        <v>#REF!</v>
      </c>
    </row>
    <row r="67" spans="1:10" x14ac:dyDescent="0.15">
      <c r="A67" s="50" t="s">
        <v>90</v>
      </c>
      <c r="B67" s="51">
        <f>+C67/$C$70</f>
        <v>0.48755575551275543</v>
      </c>
      <c r="C67" s="53">
        <f>+'income statement'!F30</f>
        <v>176650</v>
      </c>
      <c r="D67" s="52" t="e">
        <f>F67/12*3</f>
        <v>#REF!</v>
      </c>
      <c r="E67" s="53" t="e">
        <f>D67-C67</f>
        <v>#REF!</v>
      </c>
      <c r="F67" s="53" t="e">
        <f>+'income statement'!#REF!</f>
        <v>#REF!</v>
      </c>
      <c r="G67" s="53" t="e">
        <f>F67-C67</f>
        <v>#REF!</v>
      </c>
    </row>
    <row r="68" spans="1:10" x14ac:dyDescent="0.15">
      <c r="A68" s="50" t="s">
        <v>91</v>
      </c>
      <c r="B68" s="51">
        <f>+C68/$C$70</f>
        <v>0.12737781480165505</v>
      </c>
      <c r="C68" s="52">
        <f>+'income statement'!F32*0.8</f>
        <v>46151.216</v>
      </c>
      <c r="D68" s="52" t="e">
        <f>F68/12*3</f>
        <v>#REF!</v>
      </c>
      <c r="E68" s="52" t="e">
        <f>+D68-C68</f>
        <v>#REF!</v>
      </c>
      <c r="F68" s="52" t="e">
        <f>+'income statement'!#REF!*0.8</f>
        <v>#REF!</v>
      </c>
      <c r="G68" s="52" t="e">
        <f>+F68-C68</f>
        <v>#REF!</v>
      </c>
    </row>
    <row r="69" spans="1:10" x14ac:dyDescent="0.15">
      <c r="A69" s="67" t="s">
        <v>75</v>
      </c>
      <c r="B69" s="46">
        <f t="shared" ref="B69:G69" si="17">SUM(B66:B68)</f>
        <v>0.79433421627155232</v>
      </c>
      <c r="C69" s="66">
        <f t="shared" si="17"/>
        <v>287801.21600000001</v>
      </c>
      <c r="D69" s="47" t="e">
        <f t="shared" si="17"/>
        <v>#REF!</v>
      </c>
      <c r="E69" s="47" t="e">
        <f t="shared" si="17"/>
        <v>#REF!</v>
      </c>
      <c r="F69" s="47" t="e">
        <f t="shared" si="17"/>
        <v>#REF!</v>
      </c>
      <c r="G69" s="48" t="e">
        <f t="shared" si="17"/>
        <v>#REF!</v>
      </c>
    </row>
    <row r="70" spans="1:10" x14ac:dyDescent="0.15">
      <c r="A70" s="68" t="s">
        <v>92</v>
      </c>
      <c r="B70" s="69">
        <f>+C70/C72</f>
        <v>0.76818083123489622</v>
      </c>
      <c r="C70" s="70">
        <f>+C69+C64+C54+C48</f>
        <v>362317.53600000008</v>
      </c>
      <c r="D70" s="70" t="e">
        <f>+D69+D64+D54+D48</f>
        <v>#REF!</v>
      </c>
      <c r="E70" s="70" t="e">
        <f>+E69+E64+E54+E48</f>
        <v>#REF!</v>
      </c>
      <c r="F70" s="70" t="e">
        <f>+F69+F64+F54+F48</f>
        <v>#REF!</v>
      </c>
      <c r="G70" s="71" t="e">
        <f>+G69+G64+G54+G48</f>
        <v>#REF!</v>
      </c>
    </row>
    <row r="71" spans="1:10" x14ac:dyDescent="0.15">
      <c r="B71" s="16"/>
      <c r="C71" s="72"/>
      <c r="D71" s="72"/>
      <c r="E71" s="72"/>
      <c r="F71" s="72"/>
      <c r="G71" s="72"/>
    </row>
    <row r="72" spans="1:10" x14ac:dyDescent="0.15">
      <c r="A72" s="73" t="s">
        <v>93</v>
      </c>
      <c r="B72" s="69">
        <f t="shared" ref="B72:G72" si="18">+B70+B45</f>
        <v>1</v>
      </c>
      <c r="C72" s="70">
        <f t="shared" si="18"/>
        <v>471656.57000000007</v>
      </c>
      <c r="D72" s="70" t="e">
        <f t="shared" si="18"/>
        <v>#REF!</v>
      </c>
      <c r="E72" s="70" t="e">
        <f t="shared" si="18"/>
        <v>#REF!</v>
      </c>
      <c r="F72" s="70" t="e">
        <f t="shared" si="18"/>
        <v>#REF!</v>
      </c>
      <c r="G72" s="71" t="e">
        <f t="shared" si="18"/>
        <v>#REF!</v>
      </c>
    </row>
    <row r="73" spans="1:10" x14ac:dyDescent="0.15">
      <c r="H73" s="1"/>
    </row>
    <row r="74" spans="1:10" x14ac:dyDescent="0.15">
      <c r="H74" s="74" t="s">
        <v>94</v>
      </c>
      <c r="J74" s="74"/>
    </row>
  </sheetData>
  <phoneticPr fontId="11" type="noConversion"/>
  <printOptions horizontalCentered="1" verticalCentered="1"/>
  <pageMargins left="1" right="0" top="0.25" bottom="0" header="0" footer="0"/>
  <pageSetup scale="80" orientation="portrait" horizontalDpi="4294967292" r:id="rId1"/>
  <headerFooter alignWithMargins="0">
    <oddFooter>&amp;L&amp;D &amp;T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K71"/>
  <sheetViews>
    <sheetView view="pageBreakPreview" topLeftCell="B1" zoomScale="130" zoomScaleNormal="130" zoomScaleSheetLayoutView="130" zoomScalePageLayoutView="130" workbookViewId="0">
      <selection activeCell="B1" sqref="B1:H1"/>
    </sheetView>
  </sheetViews>
  <sheetFormatPr baseColWidth="10" defaultColWidth="8.83203125" defaultRowHeight="13" x14ac:dyDescent="0.15"/>
  <cols>
    <col min="1" max="1" width="9.5" hidden="1" customWidth="1"/>
    <col min="2" max="2" width="41.33203125" customWidth="1"/>
    <col min="3" max="3" width="15.5" bestFit="1" customWidth="1"/>
    <col min="4" max="4" width="12.33203125" customWidth="1"/>
    <col min="5" max="5" width="12.6640625" customWidth="1"/>
    <col min="6" max="6" width="3.5" style="125" customWidth="1"/>
    <col min="7" max="7" width="14.5" style="269" bestFit="1" customWidth="1"/>
    <col min="8" max="8" width="9.83203125" style="123" bestFit="1" customWidth="1"/>
    <col min="9" max="9" width="12.5" bestFit="1" customWidth="1"/>
  </cols>
  <sheetData>
    <row r="1" spans="1:8" x14ac:dyDescent="0.15">
      <c r="B1" s="405" t="s">
        <v>1</v>
      </c>
      <c r="C1" s="396"/>
      <c r="D1" s="396"/>
      <c r="E1" s="396"/>
      <c r="F1" s="396"/>
      <c r="G1" s="396"/>
      <c r="H1" s="396"/>
    </row>
    <row r="2" spans="1:8" x14ac:dyDescent="0.15">
      <c r="B2" s="404" t="s">
        <v>218</v>
      </c>
      <c r="C2" s="396"/>
      <c r="D2" s="396"/>
      <c r="E2" s="396"/>
      <c r="F2" s="396"/>
      <c r="G2" s="396"/>
      <c r="H2" s="396"/>
    </row>
    <row r="3" spans="1:8" x14ac:dyDescent="0.15">
      <c r="B3" s="406" t="s">
        <v>147</v>
      </c>
      <c r="C3" s="396"/>
      <c r="D3" s="396"/>
      <c r="E3" s="396"/>
      <c r="F3" s="396"/>
      <c r="G3" s="396"/>
      <c r="H3" s="396"/>
    </row>
    <row r="4" spans="1:8" x14ac:dyDescent="0.15">
      <c r="B4" s="406" t="str">
        <f>+'income statement'!B5</f>
        <v>For the period ending November 30, 2016 &amp; 2015</v>
      </c>
      <c r="C4" s="396"/>
      <c r="D4" s="396"/>
      <c r="E4" s="396"/>
      <c r="F4" s="396"/>
      <c r="G4" s="396"/>
      <c r="H4" s="396"/>
    </row>
    <row r="5" spans="1:8" x14ac:dyDescent="0.15">
      <c r="B5" s="407" t="s">
        <v>289</v>
      </c>
      <c r="C5" s="401"/>
      <c r="D5" s="401"/>
      <c r="E5" s="401"/>
      <c r="F5" s="401"/>
      <c r="G5" s="401"/>
      <c r="H5" s="401"/>
    </row>
    <row r="6" spans="1:8" x14ac:dyDescent="0.15">
      <c r="B6" s="28"/>
      <c r="C6" s="31">
        <v>2016</v>
      </c>
      <c r="D6" s="31" t="s">
        <v>146</v>
      </c>
      <c r="E6" s="31"/>
      <c r="G6" s="269" t="s">
        <v>146</v>
      </c>
    </row>
    <row r="7" spans="1:8" x14ac:dyDescent="0.15">
      <c r="B7" s="28"/>
      <c r="C7" s="31" t="s">
        <v>37</v>
      </c>
      <c r="D7" s="335" t="s">
        <v>184</v>
      </c>
      <c r="E7" s="31" t="s">
        <v>38</v>
      </c>
      <c r="G7" s="269" t="s">
        <v>157</v>
      </c>
    </row>
    <row r="8" spans="1:8" x14ac:dyDescent="0.15">
      <c r="B8" s="28"/>
      <c r="C8" s="34" t="s">
        <v>39</v>
      </c>
      <c r="D8" s="99">
        <f>'income statement'!F11</f>
        <v>42704</v>
      </c>
      <c r="E8" s="82" t="s">
        <v>39</v>
      </c>
      <c r="G8" s="269" t="s">
        <v>39</v>
      </c>
    </row>
    <row r="9" spans="1:8" x14ac:dyDescent="0.15">
      <c r="B9" s="100" t="s">
        <v>41</v>
      </c>
      <c r="C9" s="169"/>
      <c r="D9" s="169"/>
      <c r="E9" s="169"/>
      <c r="F9" s="191"/>
      <c r="G9" s="266"/>
    </row>
    <row r="10" spans="1:8" x14ac:dyDescent="0.15">
      <c r="A10">
        <v>830201</v>
      </c>
      <c r="B10" s="33" t="s">
        <v>112</v>
      </c>
      <c r="C10" s="134">
        <v>1000</v>
      </c>
      <c r="D10" s="170">
        <v>0</v>
      </c>
      <c r="E10" s="134">
        <f>+C10-D10</f>
        <v>1000</v>
      </c>
      <c r="G10" s="269">
        <f>+D10/C10</f>
        <v>0</v>
      </c>
    </row>
    <row r="11" spans="1:8" x14ac:dyDescent="0.15">
      <c r="A11">
        <v>830100</v>
      </c>
      <c r="B11" s="33" t="s">
        <v>113</v>
      </c>
      <c r="C11" s="134">
        <v>1600</v>
      </c>
      <c r="D11" s="170">
        <v>532.07000000000005</v>
      </c>
      <c r="E11" s="134">
        <f t="shared" ref="E11:E19" si="0">+C11-D11</f>
        <v>1067.9299999999998</v>
      </c>
      <c r="G11" s="269">
        <f t="shared" ref="G11:G19" si="1">+D11/C11</f>
        <v>0.33254375000000003</v>
      </c>
    </row>
    <row r="12" spans="1:8" x14ac:dyDescent="0.15">
      <c r="A12">
        <v>830500</v>
      </c>
      <c r="B12" s="33" t="s">
        <v>114</v>
      </c>
      <c r="C12" s="134">
        <v>5570</v>
      </c>
      <c r="D12" s="170">
        <v>5084.04</v>
      </c>
      <c r="E12" s="134">
        <f t="shared" si="0"/>
        <v>485.96000000000004</v>
      </c>
      <c r="G12" s="269">
        <f t="shared" si="1"/>
        <v>0.91275403949730705</v>
      </c>
    </row>
    <row r="13" spans="1:8" x14ac:dyDescent="0.15">
      <c r="A13">
        <v>830400</v>
      </c>
      <c r="B13" s="223" t="s">
        <v>168</v>
      </c>
      <c r="C13" s="134">
        <v>1500</v>
      </c>
      <c r="D13" s="170">
        <v>224.97</v>
      </c>
      <c r="E13" s="134">
        <f t="shared" si="0"/>
        <v>1275.03</v>
      </c>
      <c r="G13" s="269">
        <f t="shared" si="1"/>
        <v>0.14998</v>
      </c>
    </row>
    <row r="14" spans="1:8" x14ac:dyDescent="0.15">
      <c r="A14">
        <v>830750</v>
      </c>
      <c r="B14" s="33" t="s">
        <v>115</v>
      </c>
      <c r="C14" s="134">
        <v>1500</v>
      </c>
      <c r="D14" s="170">
        <v>3314.72</v>
      </c>
      <c r="E14" s="134">
        <f t="shared" si="0"/>
        <v>-1814.7199999999998</v>
      </c>
      <c r="G14" s="269">
        <f t="shared" si="1"/>
        <v>2.2098133333333334</v>
      </c>
    </row>
    <row r="15" spans="1:8" x14ac:dyDescent="0.15">
      <c r="A15">
        <v>830770</v>
      </c>
      <c r="B15" s="33" t="s">
        <v>119</v>
      </c>
      <c r="C15" s="134">
        <v>700</v>
      </c>
      <c r="D15" s="170">
        <v>300</v>
      </c>
      <c r="E15" s="134">
        <f t="shared" si="0"/>
        <v>400</v>
      </c>
      <c r="G15" s="269">
        <f t="shared" si="1"/>
        <v>0.42857142857142855</v>
      </c>
    </row>
    <row r="16" spans="1:8" x14ac:dyDescent="0.15">
      <c r="B16" s="223" t="s">
        <v>116</v>
      </c>
      <c r="C16" s="134">
        <v>0</v>
      </c>
      <c r="D16" s="170">
        <v>17.95</v>
      </c>
      <c r="E16" s="134">
        <f t="shared" si="0"/>
        <v>-17.95</v>
      </c>
      <c r="G16" s="269">
        <v>0</v>
      </c>
    </row>
    <row r="17" spans="1:11" x14ac:dyDescent="0.15">
      <c r="A17">
        <v>836170</v>
      </c>
      <c r="B17" s="33" t="s">
        <v>118</v>
      </c>
      <c r="C17" s="134">
        <v>0</v>
      </c>
      <c r="D17" s="170">
        <v>0</v>
      </c>
      <c r="E17" s="134">
        <f t="shared" si="0"/>
        <v>0</v>
      </c>
      <c r="G17" s="269" t="e">
        <f t="shared" si="1"/>
        <v>#DIV/0!</v>
      </c>
    </row>
    <row r="18" spans="1:11" s="393" customFormat="1" x14ac:dyDescent="0.15">
      <c r="B18" s="223" t="s">
        <v>350</v>
      </c>
      <c r="C18" s="134">
        <v>0</v>
      </c>
      <c r="D18" s="170">
        <v>3305.82</v>
      </c>
      <c r="E18" s="134">
        <f t="shared" si="0"/>
        <v>-3305.82</v>
      </c>
      <c r="F18" s="125"/>
      <c r="G18" s="269" t="e">
        <f t="shared" si="1"/>
        <v>#DIV/0!</v>
      </c>
      <c r="H18" s="123"/>
    </row>
    <row r="19" spans="1:11" x14ac:dyDescent="0.15">
      <c r="A19">
        <v>839200</v>
      </c>
      <c r="B19" s="33" t="s">
        <v>148</v>
      </c>
      <c r="C19" s="134">
        <v>500</v>
      </c>
      <c r="D19" s="170">
        <v>0</v>
      </c>
      <c r="E19" s="134">
        <f t="shared" si="0"/>
        <v>500</v>
      </c>
      <c r="G19" s="269">
        <f t="shared" si="1"/>
        <v>0</v>
      </c>
    </row>
    <row r="20" spans="1:11" x14ac:dyDescent="0.15">
      <c r="B20" s="100" t="s">
        <v>76</v>
      </c>
      <c r="C20" s="172">
        <f>SUM(C10:C19)</f>
        <v>12370</v>
      </c>
      <c r="D20" s="172">
        <f>SUM(D10:D19)</f>
        <v>12779.57</v>
      </c>
      <c r="E20" s="172">
        <f>SUM(E10:E19)</f>
        <v>-409.56999999999971</v>
      </c>
      <c r="F20" s="344"/>
      <c r="G20" s="266">
        <f>+D20/C20</f>
        <v>1.0331099434114794</v>
      </c>
    </row>
    <row r="21" spans="1:11" ht="8" customHeight="1" x14ac:dyDescent="0.15">
      <c r="B21" s="1"/>
      <c r="C21" s="173"/>
      <c r="D21" s="173"/>
      <c r="E21" s="173"/>
    </row>
    <row r="22" spans="1:11" x14ac:dyDescent="0.15">
      <c r="B22" s="73" t="s">
        <v>108</v>
      </c>
      <c r="C22" s="174"/>
      <c r="D22" s="174"/>
      <c r="E22" s="174"/>
      <c r="F22" s="279"/>
      <c r="G22" s="266"/>
    </row>
    <row r="23" spans="1:11" s="16" customFormat="1" x14ac:dyDescent="0.15">
      <c r="B23" s="281" t="s">
        <v>170</v>
      </c>
      <c r="C23" s="7">
        <f>387141+174724</f>
        <v>561865</v>
      </c>
      <c r="D23" s="7">
        <v>600754.26</v>
      </c>
      <c r="E23" s="394">
        <f>+C23-D23</f>
        <v>-38889.260000000009</v>
      </c>
      <c r="F23" s="280"/>
      <c r="G23" s="276">
        <f>+D23/C23</f>
        <v>1.0692145978126419</v>
      </c>
      <c r="H23" s="123"/>
      <c r="K23"/>
    </row>
    <row r="24" spans="1:11" x14ac:dyDescent="0.15">
      <c r="B24" s="29"/>
      <c r="C24" s="134"/>
      <c r="D24" s="170"/>
      <c r="E24" s="134"/>
      <c r="G24" s="271"/>
    </row>
    <row r="25" spans="1:11" x14ac:dyDescent="0.15">
      <c r="B25" s="29" t="s">
        <v>57</v>
      </c>
      <c r="C25" s="107"/>
      <c r="D25" s="139"/>
      <c r="E25" s="107"/>
    </row>
    <row r="26" spans="1:11" x14ac:dyDescent="0.15">
      <c r="A26">
        <v>2307</v>
      </c>
      <c r="B26" s="33" t="s">
        <v>110</v>
      </c>
      <c r="C26" s="119">
        <f>7000+5000</f>
        <v>12000</v>
      </c>
      <c r="D26" s="170">
        <v>3814.66</v>
      </c>
      <c r="E26" s="134">
        <f>+C26-D26</f>
        <v>8185.34</v>
      </c>
      <c r="G26" s="269">
        <f t="shared" ref="G26:G31" si="2">+D26/C26</f>
        <v>0.31788833333333333</v>
      </c>
      <c r="H26"/>
    </row>
    <row r="27" spans="1:11" x14ac:dyDescent="0.15">
      <c r="A27">
        <v>2737</v>
      </c>
      <c r="B27" s="33" t="s">
        <v>111</v>
      </c>
      <c r="C27" s="119">
        <v>6000</v>
      </c>
      <c r="D27" s="170">
        <v>1792.73</v>
      </c>
      <c r="E27" s="134">
        <f>+C27-D27</f>
        <v>4207.2700000000004</v>
      </c>
      <c r="G27" s="269">
        <f t="shared" si="2"/>
        <v>0.29878833333333332</v>
      </c>
      <c r="H27"/>
    </row>
    <row r="28" spans="1:11" x14ac:dyDescent="0.15">
      <c r="A28">
        <v>2210</v>
      </c>
      <c r="B28" s="223" t="s">
        <v>337</v>
      </c>
      <c r="C28" s="119">
        <f>6000+1000</f>
        <v>7000</v>
      </c>
      <c r="D28" s="170">
        <f>436.7+5146.36</f>
        <v>5583.0599999999995</v>
      </c>
      <c r="E28" s="134">
        <f>+C28-D28</f>
        <v>1416.9400000000005</v>
      </c>
      <c r="G28" s="269">
        <f t="shared" si="2"/>
        <v>0.79757999999999996</v>
      </c>
      <c r="H28"/>
    </row>
    <row r="29" spans="1:11" x14ac:dyDescent="0.15">
      <c r="A29">
        <v>3816</v>
      </c>
      <c r="B29" s="223" t="s">
        <v>338</v>
      </c>
      <c r="C29" s="119">
        <f>6000-6000+5000</f>
        <v>5000</v>
      </c>
      <c r="D29" s="170">
        <v>548.64</v>
      </c>
      <c r="E29" s="134">
        <f>+C29-D29</f>
        <v>4451.3599999999997</v>
      </c>
      <c r="G29" s="269">
        <f t="shared" si="2"/>
        <v>0.10972799999999999</v>
      </c>
      <c r="H29"/>
    </row>
    <row r="30" spans="1:11" hidden="1" x14ac:dyDescent="0.15">
      <c r="B30" s="33"/>
      <c r="C30" s="358"/>
      <c r="D30" s="170"/>
      <c r="E30" s="134">
        <f>+C30-D30</f>
        <v>0</v>
      </c>
      <c r="H30"/>
    </row>
    <row r="31" spans="1:11" x14ac:dyDescent="0.15">
      <c r="B31" s="29" t="s">
        <v>61</v>
      </c>
      <c r="C31" s="161">
        <f>SUM(C26:C30)</f>
        <v>30000</v>
      </c>
      <c r="D31" s="161">
        <f>SUM(D26:D30)</f>
        <v>11739.089999999998</v>
      </c>
      <c r="E31" s="108">
        <f>SUM(E26:E30)</f>
        <v>18260.91</v>
      </c>
      <c r="F31" s="189"/>
      <c r="G31" s="270">
        <f t="shared" si="2"/>
        <v>0.39130299999999996</v>
      </c>
    </row>
    <row r="32" spans="1:11" x14ac:dyDescent="0.15">
      <c r="B32" s="29" t="s">
        <v>62</v>
      </c>
      <c r="C32" s="119"/>
      <c r="D32" s="119"/>
      <c r="E32" s="107"/>
    </row>
    <row r="33" spans="1:8" x14ac:dyDescent="0.15">
      <c r="A33" t="s">
        <v>129</v>
      </c>
      <c r="B33" s="33" t="s">
        <v>82</v>
      </c>
      <c r="C33" s="119">
        <f>38500-6300</f>
        <v>32200</v>
      </c>
      <c r="D33" s="170">
        <v>33947.93</v>
      </c>
      <c r="E33" s="134">
        <f>+C33-D33</f>
        <v>-1747.9300000000003</v>
      </c>
      <c r="G33" s="269">
        <f>+D33/C33</f>
        <v>1.0542835403726709</v>
      </c>
      <c r="H33" s="170"/>
    </row>
    <row r="34" spans="1:8" x14ac:dyDescent="0.15">
      <c r="A34" t="s">
        <v>127</v>
      </c>
      <c r="B34" s="33" t="s">
        <v>86</v>
      </c>
      <c r="C34" s="119">
        <v>7000</v>
      </c>
      <c r="D34" s="170">
        <f>-216.57+4069.76</f>
        <v>3853.19</v>
      </c>
      <c r="E34" s="134">
        <f t="shared" ref="E34:E42" si="3">+C34-D34</f>
        <v>3146.81</v>
      </c>
      <c r="G34" s="269">
        <f t="shared" ref="G34:G42" si="4">+D34/C34</f>
        <v>0.55045571428571427</v>
      </c>
      <c r="H34" s="170"/>
    </row>
    <row r="35" spans="1:8" x14ac:dyDescent="0.15">
      <c r="A35" t="s">
        <v>128</v>
      </c>
      <c r="B35" s="33" t="s">
        <v>87</v>
      </c>
      <c r="C35" s="119">
        <v>4200</v>
      </c>
      <c r="D35" s="170">
        <v>418.96</v>
      </c>
      <c r="E35" s="134">
        <f t="shared" si="3"/>
        <v>3781.04</v>
      </c>
      <c r="G35" s="269">
        <f t="shared" si="4"/>
        <v>9.9752380952380953E-2</v>
      </c>
      <c r="H35" s="170"/>
    </row>
    <row r="36" spans="1:8" x14ac:dyDescent="0.15">
      <c r="A36" t="s">
        <v>130</v>
      </c>
      <c r="B36" s="33" t="s">
        <v>84</v>
      </c>
      <c r="C36" s="119">
        <v>4200</v>
      </c>
      <c r="D36" s="170">
        <v>303.7</v>
      </c>
      <c r="E36" s="134">
        <f t="shared" si="3"/>
        <v>3896.3</v>
      </c>
      <c r="G36" s="269">
        <f t="shared" si="4"/>
        <v>7.230952380952381E-2</v>
      </c>
      <c r="H36" s="170"/>
    </row>
    <row r="37" spans="1:8" x14ac:dyDescent="0.15">
      <c r="A37" t="s">
        <v>131</v>
      </c>
      <c r="B37" s="33" t="s">
        <v>83</v>
      </c>
      <c r="C37" s="119">
        <v>4200</v>
      </c>
      <c r="D37" s="170">
        <v>2560.56</v>
      </c>
      <c r="E37" s="134">
        <f t="shared" si="3"/>
        <v>1639.44</v>
      </c>
      <c r="G37" s="269">
        <f t="shared" si="4"/>
        <v>0.6096571428571429</v>
      </c>
      <c r="H37" s="170"/>
    </row>
    <row r="38" spans="1:8" x14ac:dyDescent="0.15">
      <c r="A38" t="s">
        <v>132</v>
      </c>
      <c r="B38" s="33" t="s">
        <v>85</v>
      </c>
      <c r="C38" s="119">
        <v>4200</v>
      </c>
      <c r="D38" s="171">
        <v>414.34</v>
      </c>
      <c r="E38" s="134">
        <f t="shared" si="3"/>
        <v>3785.66</v>
      </c>
      <c r="G38" s="269">
        <f t="shared" si="4"/>
        <v>9.865238095238095E-2</v>
      </c>
      <c r="H38" s="170"/>
    </row>
    <row r="39" spans="1:8" x14ac:dyDescent="0.15">
      <c r="A39" t="s">
        <v>126</v>
      </c>
      <c r="B39" s="223" t="s">
        <v>162</v>
      </c>
      <c r="C39" s="119">
        <v>4200</v>
      </c>
      <c r="D39" s="170">
        <v>21831.45</v>
      </c>
      <c r="E39" s="134">
        <f t="shared" si="3"/>
        <v>-17631.45</v>
      </c>
      <c r="G39" s="269">
        <f t="shared" si="4"/>
        <v>5.1979642857142858</v>
      </c>
      <c r="H39" s="170"/>
    </row>
    <row r="40" spans="1:8" x14ac:dyDescent="0.15">
      <c r="B40" s="223" t="s">
        <v>175</v>
      </c>
      <c r="C40" s="119">
        <v>0</v>
      </c>
      <c r="D40" s="170">
        <v>0</v>
      </c>
      <c r="E40" s="134">
        <f t="shared" si="3"/>
        <v>0</v>
      </c>
      <c r="G40" s="269">
        <v>0</v>
      </c>
      <c r="H40" s="170"/>
    </row>
    <row r="41" spans="1:8" x14ac:dyDescent="0.15">
      <c r="B41" s="223" t="s">
        <v>177</v>
      </c>
      <c r="C41" s="119">
        <v>0</v>
      </c>
      <c r="D41" s="170">
        <v>0</v>
      </c>
      <c r="E41" s="134">
        <f t="shared" si="3"/>
        <v>0</v>
      </c>
      <c r="G41" s="269">
        <v>0</v>
      </c>
      <c r="H41" s="170"/>
    </row>
    <row r="42" spans="1:8" x14ac:dyDescent="0.15">
      <c r="B42" s="33" t="s">
        <v>106</v>
      </c>
      <c r="C42" s="119">
        <v>5000</v>
      </c>
      <c r="D42" s="321">
        <v>6310.78</v>
      </c>
      <c r="E42" s="134">
        <f t="shared" si="3"/>
        <v>-1310.7799999999997</v>
      </c>
      <c r="G42" s="269">
        <f t="shared" si="4"/>
        <v>1.2621560000000001</v>
      </c>
      <c r="H42" s="321"/>
    </row>
    <row r="43" spans="1:8" x14ac:dyDescent="0.15">
      <c r="B43" s="29" t="s">
        <v>69</v>
      </c>
      <c r="C43" s="161">
        <f>SUM(C33:C42)</f>
        <v>65200</v>
      </c>
      <c r="D43" s="161">
        <f>SUM(D33:D42)</f>
        <v>69640.909999999989</v>
      </c>
      <c r="E43" s="108">
        <f>SUM(E33:E42)</f>
        <v>-4440.9099999999989</v>
      </c>
      <c r="F43" s="189"/>
      <c r="G43" s="270">
        <f>+D43/C43</f>
        <v>1.068112116564417</v>
      </c>
    </row>
    <row r="44" spans="1:8" x14ac:dyDescent="0.15">
      <c r="B44" s="29" t="s">
        <v>153</v>
      </c>
      <c r="C44" s="107"/>
      <c r="D44" s="107"/>
      <c r="E44" s="107"/>
    </row>
    <row r="45" spans="1:8" x14ac:dyDescent="0.15">
      <c r="A45">
        <v>842678</v>
      </c>
      <c r="B45" s="183" t="s">
        <v>117</v>
      </c>
      <c r="C45" s="134">
        <v>2500</v>
      </c>
      <c r="D45" s="171">
        <v>447.56</v>
      </c>
      <c r="E45" s="134">
        <f t="shared" ref="E45:E50" si="5">+C45-D45</f>
        <v>2052.44</v>
      </c>
      <c r="G45" s="271">
        <f t="shared" ref="G45:G51" si="6">+D45/C45</f>
        <v>0.17902399999999999</v>
      </c>
    </row>
    <row r="46" spans="1:8" x14ac:dyDescent="0.15">
      <c r="B46" s="223" t="s">
        <v>169</v>
      </c>
      <c r="C46" s="134">
        <v>1500</v>
      </c>
      <c r="D46" s="171">
        <v>490.08</v>
      </c>
      <c r="E46" s="134">
        <f t="shared" si="5"/>
        <v>1009.9200000000001</v>
      </c>
      <c r="G46" s="271">
        <f t="shared" si="6"/>
        <v>0.32672000000000001</v>
      </c>
    </row>
    <row r="47" spans="1:8" x14ac:dyDescent="0.15">
      <c r="A47">
        <v>842680</v>
      </c>
      <c r="B47" s="223" t="s">
        <v>172</v>
      </c>
      <c r="C47" s="134">
        <v>2500</v>
      </c>
      <c r="D47" s="171">
        <v>756.8</v>
      </c>
      <c r="E47" s="134">
        <f t="shared" si="5"/>
        <v>1743.2</v>
      </c>
      <c r="G47" s="271">
        <f t="shared" si="6"/>
        <v>0.30271999999999999</v>
      </c>
    </row>
    <row r="48" spans="1:8" x14ac:dyDescent="0.15">
      <c r="A48">
        <v>842682</v>
      </c>
      <c r="B48" s="33" t="s">
        <v>149</v>
      </c>
      <c r="C48" s="134">
        <v>2500</v>
      </c>
      <c r="D48" s="171">
        <v>567.33000000000004</v>
      </c>
      <c r="E48" s="134">
        <f t="shared" si="5"/>
        <v>1932.67</v>
      </c>
      <c r="G48" s="271">
        <f t="shared" si="6"/>
        <v>0.22693200000000002</v>
      </c>
    </row>
    <row r="49" spans="1:10" x14ac:dyDescent="0.15">
      <c r="B49" s="223" t="s">
        <v>190</v>
      </c>
      <c r="C49" s="134">
        <v>0</v>
      </c>
      <c r="D49" s="171">
        <v>0</v>
      </c>
      <c r="E49" s="134">
        <f t="shared" si="5"/>
        <v>0</v>
      </c>
      <c r="G49" s="271">
        <v>0</v>
      </c>
    </row>
    <row r="50" spans="1:10" x14ac:dyDescent="0.15">
      <c r="A50">
        <v>839950</v>
      </c>
      <c r="B50" s="223" t="s">
        <v>191</v>
      </c>
      <c r="C50" s="134">
        <v>1000</v>
      </c>
      <c r="D50" s="171">
        <v>491.11</v>
      </c>
      <c r="E50" s="134">
        <f t="shared" si="5"/>
        <v>508.89</v>
      </c>
      <c r="G50" s="271">
        <f t="shared" si="6"/>
        <v>0.49110999999999999</v>
      </c>
    </row>
    <row r="51" spans="1:10" x14ac:dyDescent="0.15">
      <c r="B51" s="29" t="s">
        <v>156</v>
      </c>
      <c r="C51" s="108">
        <f>SUM(C45:C50)</f>
        <v>10000</v>
      </c>
      <c r="D51" s="161">
        <f>SUM(D45:D50)</f>
        <v>2752.88</v>
      </c>
      <c r="E51" s="108">
        <f>SUM(E45:E50)</f>
        <v>7247.1200000000008</v>
      </c>
      <c r="F51" s="190"/>
      <c r="G51" s="270">
        <f t="shared" si="6"/>
        <v>0.27528800000000003</v>
      </c>
      <c r="I51" s="25"/>
    </row>
    <row r="52" spans="1:10" x14ac:dyDescent="0.15">
      <c r="B52" s="4" t="s">
        <v>73</v>
      </c>
      <c r="C52" s="119"/>
      <c r="D52" s="107"/>
      <c r="E52" s="107"/>
      <c r="F52" s="175"/>
    </row>
    <row r="53" spans="1:10" x14ac:dyDescent="0.15">
      <c r="B53" s="223" t="s">
        <v>207</v>
      </c>
      <c r="C53" s="119">
        <v>350367</v>
      </c>
      <c r="D53" s="170">
        <f>156650+5000+15000</f>
        <v>176650</v>
      </c>
      <c r="E53" s="134">
        <f>+C53-D53</f>
        <v>173717</v>
      </c>
      <c r="F53" s="175"/>
      <c r="G53" s="269">
        <f>+D53/C53</f>
        <v>0.50418561108780224</v>
      </c>
    </row>
    <row r="54" spans="1:10" x14ac:dyDescent="0.15">
      <c r="B54" s="223" t="s">
        <v>208</v>
      </c>
      <c r="C54" s="119">
        <v>150000</v>
      </c>
      <c r="D54" s="170">
        <f>65000</f>
        <v>65000</v>
      </c>
      <c r="E54" s="134">
        <f>+C54-D54</f>
        <v>85000</v>
      </c>
      <c r="F54" s="175"/>
      <c r="G54" s="268">
        <f>+D54/C54</f>
        <v>0.43333333333333335</v>
      </c>
    </row>
    <row r="55" spans="1:10" x14ac:dyDescent="0.15">
      <c r="B55" s="33" t="s">
        <v>91</v>
      </c>
      <c r="C55" s="139">
        <v>165382</v>
      </c>
      <c r="D55" s="170">
        <v>57689.02</v>
      </c>
      <c r="E55" s="134">
        <f>+C55-D55</f>
        <v>107692.98000000001</v>
      </c>
      <c r="F55" s="175"/>
      <c r="G55" s="268">
        <f>+D55/C55</f>
        <v>0.34882284650082834</v>
      </c>
      <c r="H55" s="124"/>
      <c r="I55" s="194"/>
      <c r="J55" s="194"/>
    </row>
    <row r="56" spans="1:10" x14ac:dyDescent="0.15">
      <c r="B56" s="223" t="s">
        <v>347</v>
      </c>
      <c r="C56" s="139">
        <v>0.01</v>
      </c>
      <c r="D56" s="170">
        <f>-5000-15000</f>
        <v>-20000</v>
      </c>
      <c r="E56" s="134">
        <f>+C56-D56</f>
        <v>20000.009999999998</v>
      </c>
      <c r="F56" s="175"/>
      <c r="G56" s="268">
        <v>0</v>
      </c>
      <c r="H56" s="246"/>
      <c r="I56" s="246"/>
      <c r="J56" s="246"/>
    </row>
    <row r="57" spans="1:10" x14ac:dyDescent="0.15">
      <c r="B57" s="4" t="s">
        <v>75</v>
      </c>
      <c r="C57" s="108">
        <f>SUM(C53:C56)</f>
        <v>665749.01</v>
      </c>
      <c r="D57" s="108">
        <f>SUM(D53:D56)</f>
        <v>279339.02</v>
      </c>
      <c r="E57" s="108">
        <f>SUM(E53:E56)</f>
        <v>386409.99</v>
      </c>
      <c r="F57" s="189"/>
      <c r="G57" s="267">
        <f>+D57/C57</f>
        <v>0.41958608395076702</v>
      </c>
      <c r="H57" s="246"/>
      <c r="I57" s="246"/>
      <c r="J57" s="246"/>
    </row>
    <row r="58" spans="1:10" x14ac:dyDescent="0.15">
      <c r="B58" s="73" t="s">
        <v>92</v>
      </c>
      <c r="C58" s="186">
        <f>SUM(C57,C51,C43,C31,,C23)</f>
        <v>1332814.01</v>
      </c>
      <c r="D58" s="186">
        <f>SUM(D57,D51,D43,D31,D23)</f>
        <v>964226.16</v>
      </c>
      <c r="E58" s="115">
        <f>+C58-D58-1</f>
        <v>368586.85</v>
      </c>
      <c r="F58" s="191"/>
      <c r="G58" s="266">
        <f>+D58/C58</f>
        <v>0.72345139889398369</v>
      </c>
      <c r="H58" s="246"/>
      <c r="I58" s="247"/>
      <c r="J58" s="246"/>
    </row>
    <row r="59" spans="1:10" x14ac:dyDescent="0.15">
      <c r="A59" t="s">
        <v>161</v>
      </c>
      <c r="B59" s="223" t="s">
        <v>202</v>
      </c>
      <c r="C59" s="139">
        <v>131676</v>
      </c>
      <c r="D59" s="170">
        <v>78473.91</v>
      </c>
      <c r="E59" s="134">
        <f>+C59-D59</f>
        <v>53202.09</v>
      </c>
      <c r="G59" s="268">
        <f>+D59/C59</f>
        <v>0.59596213432971845</v>
      </c>
    </row>
    <row r="60" spans="1:10" ht="7.5" customHeight="1" x14ac:dyDescent="0.15">
      <c r="B60" s="13"/>
      <c r="C60" s="105"/>
      <c r="D60" s="105"/>
      <c r="E60" s="105"/>
      <c r="G60" s="268"/>
      <c r="H60" s="246"/>
      <c r="I60" s="246"/>
      <c r="J60" s="246"/>
    </row>
    <row r="61" spans="1:10" x14ac:dyDescent="0.15">
      <c r="B61" s="73" t="s">
        <v>93</v>
      </c>
      <c r="C61" s="115">
        <f>SUM(C58,C20,C59)</f>
        <v>1476860.01</v>
      </c>
      <c r="D61" s="115">
        <f>SUM(D58,D20,D59)</f>
        <v>1055479.6399999999</v>
      </c>
      <c r="E61" s="115">
        <f>+C61-D61</f>
        <v>421380.37000000011</v>
      </c>
      <c r="F61" s="191"/>
      <c r="G61" s="266">
        <f>+D61/C61</f>
        <v>0.71467819079209804</v>
      </c>
      <c r="H61" s="248">
        <v>3377322</v>
      </c>
      <c r="I61" s="249"/>
      <c r="J61" s="246"/>
    </row>
    <row r="62" spans="1:10" s="194" customFormat="1" x14ac:dyDescent="0.15">
      <c r="B62" s="243"/>
      <c r="C62" s="139"/>
      <c r="D62" s="139"/>
      <c r="E62" s="139"/>
      <c r="F62" s="188"/>
      <c r="G62" s="167"/>
      <c r="H62" s="248"/>
      <c r="I62" s="249"/>
      <c r="J62" s="246"/>
    </row>
    <row r="63" spans="1:10" s="194" customFormat="1" x14ac:dyDescent="0.15">
      <c r="A63" s="194" t="s">
        <v>171</v>
      </c>
      <c r="B63" s="234" t="s">
        <v>351</v>
      </c>
      <c r="C63" s="139"/>
      <c r="D63" s="139"/>
      <c r="E63" s="139"/>
      <c r="F63" s="188"/>
      <c r="G63" s="316"/>
      <c r="H63" s="248"/>
      <c r="I63" s="249"/>
      <c r="J63" s="246"/>
    </row>
    <row r="64" spans="1:10" s="194" customFormat="1" x14ac:dyDescent="0.15">
      <c r="B64" s="232"/>
      <c r="C64" s="139"/>
      <c r="D64" s="139"/>
      <c r="E64" s="139"/>
      <c r="F64" s="188"/>
      <c r="G64" s="316"/>
      <c r="H64" s="248"/>
      <c r="I64" s="249"/>
      <c r="J64" s="246"/>
    </row>
    <row r="65" spans="2:7" x14ac:dyDescent="0.15">
      <c r="B65" s="317"/>
      <c r="C65" s="16"/>
      <c r="D65" s="123"/>
      <c r="E65" s="120"/>
      <c r="G65" s="272"/>
    </row>
    <row r="66" spans="2:7" x14ac:dyDescent="0.15">
      <c r="B66" s="16"/>
      <c r="C66" s="154"/>
      <c r="D66" s="121"/>
      <c r="E66" s="123"/>
      <c r="G66" s="273" t="s">
        <v>94</v>
      </c>
    </row>
    <row r="67" spans="2:7" x14ac:dyDescent="0.15">
      <c r="B67" s="232"/>
      <c r="C67" s="120"/>
      <c r="D67" s="123"/>
      <c r="E67" s="123"/>
      <c r="G67" s="272"/>
    </row>
    <row r="68" spans="2:7" x14ac:dyDescent="0.15">
      <c r="B68" s="13"/>
      <c r="C68" s="122"/>
      <c r="D68" s="124"/>
      <c r="E68" s="124"/>
    </row>
    <row r="69" spans="2:7" x14ac:dyDescent="0.15">
      <c r="B69" s="13"/>
      <c r="C69" s="122"/>
      <c r="D69" s="122"/>
      <c r="E69" s="122"/>
    </row>
    <row r="70" spans="2:7" x14ac:dyDescent="0.15">
      <c r="B70" s="13"/>
      <c r="C70" s="124"/>
      <c r="D70" s="124"/>
      <c r="E70" s="124"/>
    </row>
    <row r="71" spans="2:7" x14ac:dyDescent="0.15">
      <c r="C71" s="145"/>
      <c r="D71" s="145"/>
      <c r="E71" s="145"/>
    </row>
  </sheetData>
  <mergeCells count="5">
    <mergeCell ref="B2:H2"/>
    <mergeCell ref="B1:H1"/>
    <mergeCell ref="B3:H3"/>
    <mergeCell ref="B4:H4"/>
    <mergeCell ref="B5:H5"/>
  </mergeCells>
  <phoneticPr fontId="11" type="noConversion"/>
  <printOptions horizontalCentered="1" verticalCentered="1"/>
  <pageMargins left="0.5" right="0" top="0.25" bottom="0" header="0" footer="0"/>
  <pageSetup scale="71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46"/>
  <sheetViews>
    <sheetView view="pageBreakPreview" zoomScale="110" zoomScaleSheetLayoutView="110" workbookViewId="0">
      <pane ySplit="5" topLeftCell="A6" activePane="bottomLeft" state="frozen"/>
      <selection activeCell="B5" sqref="B5:H5"/>
      <selection pane="bottomLeft"/>
    </sheetView>
  </sheetViews>
  <sheetFormatPr baseColWidth="10" defaultColWidth="8.83203125" defaultRowHeight="13" x14ac:dyDescent="0.15"/>
  <cols>
    <col min="1" max="1" width="10.33203125" customWidth="1"/>
    <col min="2" max="2" width="16" hidden="1" customWidth="1"/>
    <col min="3" max="3" width="50.6640625" style="87" customWidth="1"/>
    <col min="4" max="4" width="2.6640625" customWidth="1"/>
    <col min="5" max="5" width="13.6640625" bestFit="1" customWidth="1"/>
    <col min="6" max="6" width="13.1640625" bestFit="1" customWidth="1"/>
    <col min="7" max="7" width="15.33203125" customWidth="1"/>
    <col min="8" max="8" width="11.6640625" style="146" hidden="1" customWidth="1"/>
    <col min="9" max="9" width="10.5" style="128" bestFit="1" customWidth="1"/>
    <col min="10" max="10" width="10.33203125" style="123" bestFit="1" customWidth="1"/>
    <col min="11" max="11" width="9.33203125" style="123" bestFit="1" customWidth="1"/>
  </cols>
  <sheetData>
    <row r="2" spans="1:23" ht="12.75" customHeight="1" x14ac:dyDescent="0.15">
      <c r="A2" s="405" t="s">
        <v>1</v>
      </c>
      <c r="B2" s="396"/>
      <c r="C2" s="396"/>
      <c r="D2" s="396"/>
      <c r="E2" s="396"/>
      <c r="F2" s="396"/>
      <c r="G2" s="396"/>
    </row>
    <row r="3" spans="1:23" x14ac:dyDescent="0.15">
      <c r="A3" s="408" t="s">
        <v>218</v>
      </c>
      <c r="B3" s="396"/>
      <c r="C3" s="396"/>
      <c r="D3" s="396"/>
      <c r="E3" s="396"/>
      <c r="F3" s="396"/>
      <c r="G3" s="396"/>
    </row>
    <row r="4" spans="1:23" x14ac:dyDescent="0.15">
      <c r="A4" s="408" t="s">
        <v>348</v>
      </c>
      <c r="B4" s="396"/>
      <c r="C4" s="396"/>
      <c r="D4" s="396"/>
      <c r="E4" s="396"/>
      <c r="F4" s="396"/>
      <c r="G4" s="396"/>
    </row>
    <row r="5" spans="1:23" s="16" customFormat="1" ht="14" x14ac:dyDescent="0.15">
      <c r="A5" s="111"/>
      <c r="B5" s="111"/>
      <c r="C5" s="402"/>
      <c r="D5" s="402"/>
      <c r="E5" s="402"/>
      <c r="F5" s="402"/>
      <c r="G5"/>
      <c r="H5" s="146"/>
      <c r="I5" s="128"/>
      <c r="J5" s="153"/>
      <c r="K5" s="15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16" customFormat="1" ht="16" x14ac:dyDescent="0.2">
      <c r="A6" s="219"/>
      <c r="B6" s="220"/>
      <c r="C6" s="76" t="s">
        <v>181</v>
      </c>
      <c r="D6" s="77"/>
      <c r="E6" s="142" t="s">
        <v>95</v>
      </c>
      <c r="F6" s="142" t="s">
        <v>96</v>
      </c>
      <c r="G6" s="342" t="s">
        <v>97</v>
      </c>
      <c r="H6" s="146"/>
      <c r="I6" s="157"/>
      <c r="J6" s="123"/>
      <c r="K6" s="123"/>
    </row>
    <row r="7" spans="1:23" s="16" customFormat="1" x14ac:dyDescent="0.15">
      <c r="A7" s="144" t="s">
        <v>98</v>
      </c>
      <c r="B7" s="232"/>
      <c r="C7" s="192"/>
      <c r="D7" s="187"/>
      <c r="E7" s="139"/>
      <c r="F7" s="139"/>
      <c r="G7" s="278"/>
      <c r="H7" s="259"/>
      <c r="I7" s="157"/>
      <c r="J7" s="123"/>
      <c r="K7" s="123"/>
    </row>
    <row r="8" spans="1:23" s="16" customFormat="1" ht="11.25" customHeight="1" x14ac:dyDescent="0.15">
      <c r="A8" s="228" t="s">
        <v>188</v>
      </c>
      <c r="B8" s="221"/>
      <c r="C8" s="229" t="s">
        <v>189</v>
      </c>
      <c r="D8" s="80"/>
      <c r="E8" s="226">
        <v>10000</v>
      </c>
      <c r="F8" s="222">
        <f>2500+2500+2500+1250+1250</f>
        <v>10000</v>
      </c>
      <c r="G8" s="278">
        <f>E8-F8</f>
        <v>0</v>
      </c>
      <c r="H8" s="260"/>
      <c r="I8" s="146"/>
      <c r="J8" s="123"/>
      <c r="K8" s="123"/>
    </row>
    <row r="9" spans="1:23" s="16" customFormat="1" x14ac:dyDescent="0.15">
      <c r="A9" s="224"/>
      <c r="B9" s="220"/>
      <c r="C9" s="274" t="s">
        <v>186</v>
      </c>
      <c r="D9" s="77"/>
      <c r="E9" s="115">
        <f>SUM(E7:E8)</f>
        <v>10000</v>
      </c>
      <c r="F9" s="115">
        <f>SUM(F7:F8)</f>
        <v>10000</v>
      </c>
      <c r="G9" s="116">
        <f>SUM(G7:G8)</f>
        <v>0</v>
      </c>
      <c r="H9" s="259"/>
      <c r="I9" s="157"/>
      <c r="J9" s="123"/>
      <c r="K9" s="123"/>
    </row>
    <row r="10" spans="1:23" s="16" customFormat="1" ht="11.25" customHeight="1" x14ac:dyDescent="0.15">
      <c r="A10" s="230"/>
      <c r="B10" s="221"/>
      <c r="C10" s="229"/>
      <c r="D10" s="80"/>
      <c r="E10" s="226"/>
      <c r="F10" s="222"/>
      <c r="H10" s="260"/>
      <c r="I10" s="146"/>
      <c r="J10" s="123"/>
      <c r="K10" s="123"/>
    </row>
    <row r="11" spans="1:23" s="16" customFormat="1" ht="16" x14ac:dyDescent="0.2">
      <c r="A11" s="219"/>
      <c r="B11" s="220"/>
      <c r="C11" s="76" t="s">
        <v>195</v>
      </c>
      <c r="D11" s="77"/>
      <c r="E11" s="142" t="s">
        <v>95</v>
      </c>
      <c r="F11" s="142" t="s">
        <v>96</v>
      </c>
      <c r="G11" s="342" t="s">
        <v>97</v>
      </c>
      <c r="H11" s="146"/>
      <c r="I11" s="157"/>
      <c r="J11" s="123"/>
      <c r="K11" s="123"/>
    </row>
    <row r="12" spans="1:23" s="16" customFormat="1" x14ac:dyDescent="0.15">
      <c r="A12" s="81" t="s">
        <v>99</v>
      </c>
      <c r="B12" s="221"/>
      <c r="C12" s="225"/>
      <c r="D12" s="80"/>
      <c r="E12" s="226"/>
      <c r="F12" s="226"/>
      <c r="G12" s="278"/>
      <c r="H12" s="119"/>
      <c r="I12" s="119"/>
      <c r="J12" s="146"/>
      <c r="K12" s="146"/>
      <c r="L12" s="123"/>
      <c r="M12" s="123"/>
    </row>
    <row r="13" spans="1:23" s="16" customFormat="1" x14ac:dyDescent="0.15">
      <c r="A13" s="231" t="s">
        <v>209</v>
      </c>
      <c r="B13" s="221"/>
      <c r="C13" s="230" t="s">
        <v>308</v>
      </c>
      <c r="D13" s="227"/>
      <c r="E13" s="226">
        <v>20000</v>
      </c>
      <c r="F13" s="226">
        <f>5000+5000+5000</f>
        <v>15000</v>
      </c>
      <c r="G13" s="381" t="s">
        <v>287</v>
      </c>
      <c r="H13" s="119"/>
      <c r="I13" s="119"/>
      <c r="J13" s="146"/>
      <c r="K13" s="146"/>
      <c r="L13" s="123"/>
      <c r="M13" s="123"/>
    </row>
    <row r="14" spans="1:23" s="16" customFormat="1" x14ac:dyDescent="0.15">
      <c r="A14" s="78" t="s">
        <v>101</v>
      </c>
      <c r="B14" s="221"/>
      <c r="C14" s="229"/>
      <c r="D14" s="80"/>
      <c r="E14" s="226"/>
      <c r="F14" s="226"/>
      <c r="G14" s="278"/>
      <c r="H14" s="119"/>
      <c r="I14" s="119"/>
      <c r="J14" s="146"/>
      <c r="K14" s="146"/>
      <c r="L14" s="123"/>
      <c r="M14" s="123"/>
    </row>
    <row r="15" spans="1:23" s="345" customFormat="1" x14ac:dyDescent="0.15">
      <c r="A15" s="228" t="s">
        <v>210</v>
      </c>
      <c r="B15" s="221"/>
      <c r="C15" s="346" t="s">
        <v>211</v>
      </c>
      <c r="D15" s="80"/>
      <c r="E15" s="226">
        <v>20000</v>
      </c>
      <c r="F15" s="226">
        <f>5000+5000+5000+2500+2500</f>
        <v>20000</v>
      </c>
      <c r="G15" s="278">
        <f t="shared" ref="G15" si="0">E15-F15</f>
        <v>0</v>
      </c>
      <c r="H15" s="250"/>
      <c r="I15" s="128"/>
      <c r="J15" s="123"/>
      <c r="K15" s="123"/>
    </row>
    <row r="16" spans="1:23" s="16" customFormat="1" x14ac:dyDescent="0.15">
      <c r="A16" s="228" t="s">
        <v>196</v>
      </c>
      <c r="B16" s="221"/>
      <c r="C16" s="390" t="s">
        <v>339</v>
      </c>
      <c r="D16" s="80"/>
      <c r="E16" s="226">
        <v>20000</v>
      </c>
      <c r="F16" s="226">
        <f>5000</f>
        <v>5000</v>
      </c>
      <c r="G16" s="391" t="s">
        <v>340</v>
      </c>
      <c r="H16" s="258"/>
      <c r="I16" s="119"/>
      <c r="J16" s="146"/>
      <c r="K16" s="146"/>
      <c r="L16" s="123"/>
      <c r="M16" s="123"/>
    </row>
    <row r="17" spans="1:11" s="16" customFormat="1" x14ac:dyDescent="0.15">
      <c r="A17" s="224"/>
      <c r="B17" s="220"/>
      <c r="C17" s="339" t="s">
        <v>197</v>
      </c>
      <c r="D17" s="77"/>
      <c r="E17" s="275">
        <f>SUM(E12:E16)</f>
        <v>60000</v>
      </c>
      <c r="F17" s="275">
        <f>SUM(F12:F16)</f>
        <v>40000</v>
      </c>
      <c r="G17" s="116">
        <f>SUM(G12:G16)</f>
        <v>0</v>
      </c>
      <c r="H17" s="259"/>
      <c r="I17" s="157"/>
      <c r="J17" s="123"/>
      <c r="K17" s="123"/>
    </row>
    <row r="18" spans="1:11" s="16" customFormat="1" x14ac:dyDescent="0.15">
      <c r="A18" s="230"/>
      <c r="B18" s="232"/>
      <c r="C18" s="348"/>
      <c r="D18" s="187"/>
      <c r="E18" s="349"/>
      <c r="F18" s="349"/>
      <c r="G18" s="139"/>
      <c r="H18" s="259"/>
      <c r="I18" s="157"/>
      <c r="J18" s="123"/>
      <c r="K18" s="123"/>
    </row>
    <row r="19" spans="1:11" s="16" customFormat="1" ht="16" x14ac:dyDescent="0.2">
      <c r="A19" s="219"/>
      <c r="B19" s="220"/>
      <c r="C19" s="76" t="s">
        <v>212</v>
      </c>
      <c r="D19" s="77"/>
      <c r="E19" s="142" t="s">
        <v>95</v>
      </c>
      <c r="F19" s="142" t="s">
        <v>96</v>
      </c>
      <c r="G19" s="342" t="s">
        <v>97</v>
      </c>
      <c r="H19" s="146"/>
      <c r="I19" s="157"/>
      <c r="J19" s="123"/>
      <c r="K19" s="123"/>
    </row>
    <row r="20" spans="1:11" s="16" customFormat="1" x14ac:dyDescent="0.15">
      <c r="A20" s="144" t="s">
        <v>98</v>
      </c>
      <c r="B20" s="232"/>
      <c r="C20" s="192"/>
      <c r="D20" s="187"/>
      <c r="E20" s="139"/>
      <c r="F20" s="139"/>
      <c r="G20" s="278"/>
      <c r="H20" s="259"/>
      <c r="I20" s="157"/>
      <c r="J20" s="123"/>
      <c r="K20" s="123"/>
    </row>
    <row r="21" spans="1:11" s="16" customFormat="1" x14ac:dyDescent="0.15">
      <c r="A21" s="228" t="s">
        <v>213</v>
      </c>
      <c r="B21" s="232"/>
      <c r="C21" s="233" t="s">
        <v>214</v>
      </c>
      <c r="D21" s="347"/>
      <c r="E21" s="226">
        <v>13000</v>
      </c>
      <c r="F21" s="226">
        <f>3250+3250</f>
        <v>6500</v>
      </c>
      <c r="G21" s="278">
        <f t="shared" ref="G21" si="1">E21-F21</f>
        <v>6500</v>
      </c>
      <c r="H21" s="259"/>
      <c r="I21" s="157"/>
      <c r="J21" s="123"/>
      <c r="K21" s="123"/>
    </row>
    <row r="22" spans="1:11" s="16" customFormat="1" x14ac:dyDescent="0.15">
      <c r="A22" s="81" t="s">
        <v>99</v>
      </c>
      <c r="B22" s="232"/>
      <c r="C22" s="233"/>
      <c r="D22" s="347"/>
      <c r="E22" s="226"/>
      <c r="F22" s="226"/>
      <c r="G22" s="278"/>
      <c r="H22" s="259"/>
      <c r="I22" s="157"/>
      <c r="J22" s="123"/>
      <c r="K22" s="123"/>
    </row>
    <row r="23" spans="1:11" s="16" customFormat="1" x14ac:dyDescent="0.15">
      <c r="A23" s="228" t="s">
        <v>220</v>
      </c>
      <c r="B23" s="232"/>
      <c r="C23" s="233" t="s">
        <v>221</v>
      </c>
      <c r="D23" s="365"/>
      <c r="E23" s="226">
        <v>15000</v>
      </c>
      <c r="F23" s="226">
        <f>3750+3750+3750+1875+1875</f>
        <v>15000</v>
      </c>
      <c r="G23" s="278">
        <f t="shared" ref="G23" si="2">E23-F23</f>
        <v>0</v>
      </c>
      <c r="H23" s="259"/>
      <c r="I23" s="157"/>
      <c r="J23" s="123"/>
      <c r="K23" s="123"/>
    </row>
    <row r="24" spans="1:11" s="16" customFormat="1" x14ac:dyDescent="0.15">
      <c r="A24" s="228" t="s">
        <v>223</v>
      </c>
      <c r="B24" s="232"/>
      <c r="C24" s="233" t="s">
        <v>224</v>
      </c>
      <c r="D24" s="368"/>
      <c r="E24" s="226">
        <v>15000</v>
      </c>
      <c r="F24" s="226">
        <f>7650+2450+2450+2450</f>
        <v>15000</v>
      </c>
      <c r="G24" s="278">
        <f t="shared" ref="G24:G25" si="3">E24-F24</f>
        <v>0</v>
      </c>
      <c r="H24" s="259"/>
      <c r="I24" s="157"/>
      <c r="J24" s="123"/>
      <c r="K24" s="123"/>
    </row>
    <row r="25" spans="1:11" s="16" customFormat="1" x14ac:dyDescent="0.15">
      <c r="A25" s="228" t="s">
        <v>225</v>
      </c>
      <c r="B25" s="232"/>
      <c r="C25" s="233" t="s">
        <v>226</v>
      </c>
      <c r="D25" s="368"/>
      <c r="E25" s="226">
        <v>15000</v>
      </c>
      <c r="F25" s="226">
        <f>7500+7500</f>
        <v>15000</v>
      </c>
      <c r="G25" s="278">
        <f t="shared" si="3"/>
        <v>0</v>
      </c>
      <c r="H25" s="259"/>
      <c r="I25" s="157"/>
      <c r="J25" s="123"/>
      <c r="K25" s="123"/>
    </row>
    <row r="26" spans="1:11" s="16" customFormat="1" x14ac:dyDescent="0.15">
      <c r="A26" s="78" t="s">
        <v>100</v>
      </c>
      <c r="B26" s="232"/>
      <c r="C26" s="233"/>
      <c r="D26" s="347"/>
      <c r="E26" s="226"/>
      <c r="F26" s="226"/>
      <c r="G26" s="278"/>
      <c r="H26" s="259"/>
      <c r="I26" s="157"/>
      <c r="J26" s="123"/>
      <c r="K26" s="123"/>
    </row>
    <row r="27" spans="1:11" s="16" customFormat="1" x14ac:dyDescent="0.15">
      <c r="A27" s="228" t="s">
        <v>227</v>
      </c>
      <c r="B27" s="232"/>
      <c r="C27" s="233" t="s">
        <v>288</v>
      </c>
      <c r="D27" s="368"/>
      <c r="E27" s="226">
        <v>18255</v>
      </c>
      <c r="F27" s="226">
        <f>8910+4675.5+2337.75+2331.75</f>
        <v>18255</v>
      </c>
      <c r="G27" s="278">
        <f t="shared" ref="G27" si="4">E27-F27</f>
        <v>0</v>
      </c>
      <c r="H27" s="259"/>
      <c r="I27" s="157"/>
      <c r="J27" s="123"/>
      <c r="K27" s="123"/>
    </row>
    <row r="28" spans="1:11" s="16" customFormat="1" x14ac:dyDescent="0.15">
      <c r="A28" s="78" t="s">
        <v>101</v>
      </c>
      <c r="B28" s="232"/>
      <c r="C28" s="233"/>
      <c r="D28" s="347"/>
      <c r="E28" s="226"/>
      <c r="F28" s="226"/>
      <c r="G28" s="278"/>
      <c r="H28" s="259"/>
      <c r="I28" s="157"/>
      <c r="J28" s="123"/>
      <c r="K28" s="123"/>
    </row>
    <row r="29" spans="1:11" s="16" customFormat="1" x14ac:dyDescent="0.15">
      <c r="A29" s="228" t="s">
        <v>228</v>
      </c>
      <c r="B29" s="232"/>
      <c r="C29" s="233" t="s">
        <v>341</v>
      </c>
      <c r="D29" s="194"/>
      <c r="E29" s="226">
        <v>15000</v>
      </c>
      <c r="F29" s="389">
        <f>3750+9375</f>
        <v>13125</v>
      </c>
      <c r="G29" s="278">
        <f>E29-F29</f>
        <v>1875</v>
      </c>
      <c r="H29" s="259"/>
      <c r="I29" s="157"/>
      <c r="J29" s="123"/>
      <c r="K29" s="123"/>
    </row>
    <row r="30" spans="1:11" s="16" customFormat="1" x14ac:dyDescent="0.15">
      <c r="A30" s="228" t="s">
        <v>215</v>
      </c>
      <c r="B30" s="232"/>
      <c r="C30" s="233" t="s">
        <v>216</v>
      </c>
      <c r="D30" s="347"/>
      <c r="E30" s="226">
        <v>15000</v>
      </c>
      <c r="F30" s="226">
        <f>3750+3750</f>
        <v>7500</v>
      </c>
      <c r="G30" s="278">
        <f>E30-F30</f>
        <v>7500</v>
      </c>
      <c r="H30" s="259"/>
      <c r="I30" s="157"/>
      <c r="J30" s="123"/>
      <c r="K30" s="123"/>
    </row>
    <row r="31" spans="1:11" s="194" customFormat="1" x14ac:dyDescent="0.15">
      <c r="A31" s="228" t="s">
        <v>229</v>
      </c>
      <c r="B31" s="232"/>
      <c r="C31" s="346" t="s">
        <v>231</v>
      </c>
      <c r="D31" s="187"/>
      <c r="E31" s="226">
        <v>15000</v>
      </c>
      <c r="F31" s="226">
        <f>3750+3750+3750+1875+1875</f>
        <v>15000</v>
      </c>
      <c r="G31" s="278">
        <f t="shared" ref="G31:G32" si="5">E31-F31</f>
        <v>0</v>
      </c>
      <c r="H31" s="371"/>
      <c r="I31" s="382"/>
      <c r="J31" s="124"/>
      <c r="K31" s="124"/>
    </row>
    <row r="32" spans="1:11" s="368" customFormat="1" x14ac:dyDescent="0.15">
      <c r="A32" s="228" t="s">
        <v>230</v>
      </c>
      <c r="B32" s="221"/>
      <c r="C32" s="346" t="s">
        <v>232</v>
      </c>
      <c r="D32" s="80"/>
      <c r="E32" s="226">
        <v>10000</v>
      </c>
      <c r="F32" s="226">
        <f>5000+2500+2500</f>
        <v>10000</v>
      </c>
      <c r="G32" s="278">
        <f t="shared" si="5"/>
        <v>0</v>
      </c>
      <c r="H32" s="250"/>
      <c r="I32" s="128"/>
      <c r="J32" s="123"/>
      <c r="K32" s="123"/>
    </row>
    <row r="33" spans="1:11" s="16" customFormat="1" x14ac:dyDescent="0.15">
      <c r="A33" s="224"/>
      <c r="B33" s="220"/>
      <c r="C33" s="274" t="s">
        <v>217</v>
      </c>
      <c r="D33" s="77"/>
      <c r="E33" s="115">
        <f>SUM(E20:E32)</f>
        <v>131255</v>
      </c>
      <c r="F33" s="115">
        <f>SUM(F20:F32)</f>
        <v>115380</v>
      </c>
      <c r="G33" s="116">
        <f>SUM(G20:G32)</f>
        <v>15875</v>
      </c>
      <c r="H33" s="259"/>
      <c r="I33" s="157"/>
      <c r="J33" s="123"/>
      <c r="K33" s="123"/>
    </row>
    <row r="34" spans="1:11" s="234" customFormat="1" x14ac:dyDescent="0.15">
      <c r="A34" s="230"/>
      <c r="B34" s="232"/>
      <c r="C34" s="370"/>
      <c r="D34" s="187"/>
      <c r="E34" s="139"/>
      <c r="F34" s="139"/>
      <c r="G34" s="139"/>
      <c r="H34" s="371"/>
      <c r="I34" s="372"/>
      <c r="J34" s="124"/>
      <c r="K34" s="124"/>
    </row>
    <row r="35" spans="1:11" s="16" customFormat="1" ht="16" x14ac:dyDescent="0.2">
      <c r="A35" s="219"/>
      <c r="B35" s="220"/>
      <c r="C35" s="76" t="s">
        <v>233</v>
      </c>
      <c r="D35" s="77"/>
      <c r="E35" s="142" t="s">
        <v>95</v>
      </c>
      <c r="F35" s="142" t="s">
        <v>96</v>
      </c>
      <c r="G35" s="342" t="s">
        <v>97</v>
      </c>
      <c r="H35" s="146"/>
      <c r="I35" s="157"/>
      <c r="J35" s="123"/>
      <c r="K35" s="123"/>
    </row>
    <row r="36" spans="1:11" s="234" customFormat="1" x14ac:dyDescent="0.15">
      <c r="A36" s="144" t="s">
        <v>98</v>
      </c>
      <c r="B36" s="232"/>
      <c r="C36" s="192"/>
      <c r="D36" s="187"/>
      <c r="E36" s="139"/>
      <c r="F36" s="139"/>
      <c r="G36" s="374"/>
      <c r="H36" s="371"/>
      <c r="I36" s="372"/>
      <c r="J36" s="124"/>
      <c r="K36" s="124"/>
    </row>
    <row r="37" spans="1:11" s="234" customFormat="1" x14ac:dyDescent="0.15">
      <c r="A37" s="228" t="s">
        <v>234</v>
      </c>
      <c r="B37" s="232"/>
      <c r="C37" s="232" t="s">
        <v>235</v>
      </c>
      <c r="D37" s="373"/>
      <c r="E37" s="226">
        <f>30000-15000</f>
        <v>15000</v>
      </c>
      <c r="F37" s="226">
        <f>3750+3750+3750+3750</f>
        <v>15000</v>
      </c>
      <c r="G37" s="278">
        <f t="shared" ref="G37:G39" si="6">E37-F37</f>
        <v>0</v>
      </c>
      <c r="H37" s="371"/>
      <c r="I37" s="372"/>
      <c r="J37" s="124"/>
      <c r="K37" s="124"/>
    </row>
    <row r="38" spans="1:11" s="234" customFormat="1" x14ac:dyDescent="0.15">
      <c r="A38" s="228" t="s">
        <v>249</v>
      </c>
      <c r="B38" s="232"/>
      <c r="C38" s="232" t="s">
        <v>250</v>
      </c>
      <c r="D38" s="373"/>
      <c r="E38" s="226">
        <v>15000</v>
      </c>
      <c r="F38" s="226">
        <f>3750+3750+3750</f>
        <v>11250</v>
      </c>
      <c r="G38" s="278">
        <f t="shared" si="6"/>
        <v>3750</v>
      </c>
      <c r="H38" s="371"/>
      <c r="I38" s="372"/>
      <c r="J38" s="124"/>
      <c r="K38" s="124"/>
    </row>
    <row r="39" spans="1:11" s="234" customFormat="1" x14ac:dyDescent="0.15">
      <c r="A39" s="228" t="s">
        <v>236</v>
      </c>
      <c r="B39" s="232"/>
      <c r="C39" s="232" t="s">
        <v>237</v>
      </c>
      <c r="D39" s="373"/>
      <c r="E39" s="226">
        <v>12701</v>
      </c>
      <c r="F39" s="226">
        <f>3175+3175+3175+1588+1588</f>
        <v>12701</v>
      </c>
      <c r="G39" s="278">
        <f t="shared" si="6"/>
        <v>0</v>
      </c>
      <c r="H39" s="371"/>
      <c r="I39" s="372"/>
      <c r="J39" s="124"/>
      <c r="K39" s="124"/>
    </row>
    <row r="40" spans="1:11" s="234" customFormat="1" x14ac:dyDescent="0.15">
      <c r="A40" s="228" t="s">
        <v>261</v>
      </c>
      <c r="B40" s="232"/>
      <c r="C40" s="232" t="s">
        <v>262</v>
      </c>
      <c r="D40" s="373"/>
      <c r="E40" s="226">
        <v>10000</v>
      </c>
      <c r="F40" s="226">
        <f>2500+2500+3750</f>
        <v>8750</v>
      </c>
      <c r="G40" s="278">
        <f t="shared" ref="G40" si="7">E40-F40</f>
        <v>1250</v>
      </c>
      <c r="H40" s="371"/>
      <c r="I40" s="372"/>
      <c r="J40" s="124"/>
      <c r="K40" s="124"/>
    </row>
    <row r="41" spans="1:11" s="234" customFormat="1" x14ac:dyDescent="0.15">
      <c r="A41" s="81" t="s">
        <v>99</v>
      </c>
      <c r="B41" s="232"/>
      <c r="C41" s="232"/>
      <c r="D41" s="373"/>
      <c r="E41" s="226"/>
      <c r="F41" s="226"/>
      <c r="G41" s="278"/>
      <c r="H41" s="371"/>
      <c r="I41" s="372"/>
      <c r="J41" s="124"/>
      <c r="K41" s="124"/>
    </row>
    <row r="42" spans="1:11" s="234" customFormat="1" x14ac:dyDescent="0.15">
      <c r="A42" s="228" t="s">
        <v>251</v>
      </c>
      <c r="B42" s="232"/>
      <c r="C42" s="232" t="s">
        <v>252</v>
      </c>
      <c r="D42" s="373"/>
      <c r="E42" s="226">
        <v>15000</v>
      </c>
      <c r="F42" s="226">
        <f>3750+3750</f>
        <v>7500</v>
      </c>
      <c r="G42" s="278">
        <f t="shared" ref="G42" si="8">E42-F42</f>
        <v>7500</v>
      </c>
      <c r="H42" s="371"/>
      <c r="I42" s="372"/>
      <c r="J42" s="124"/>
      <c r="K42" s="124"/>
    </row>
    <row r="43" spans="1:11" s="234" customFormat="1" x14ac:dyDescent="0.15">
      <c r="A43" s="228" t="s">
        <v>263</v>
      </c>
      <c r="B43" s="232"/>
      <c r="C43" s="232" t="s">
        <v>264</v>
      </c>
      <c r="D43" s="373"/>
      <c r="E43" s="226">
        <v>15000</v>
      </c>
      <c r="F43" s="226">
        <f>3750</f>
        <v>3750</v>
      </c>
      <c r="G43" s="278">
        <f t="shared" ref="G43" si="9">E43-F43</f>
        <v>11250</v>
      </c>
      <c r="H43" s="371"/>
      <c r="I43" s="372"/>
      <c r="J43" s="124"/>
      <c r="K43" s="124"/>
    </row>
    <row r="44" spans="1:11" s="234" customFormat="1" x14ac:dyDescent="0.15">
      <c r="A44" s="228" t="s">
        <v>265</v>
      </c>
      <c r="B44" s="232"/>
      <c r="C44" s="232" t="s">
        <v>269</v>
      </c>
      <c r="D44" s="373"/>
      <c r="E44" s="226">
        <v>15000</v>
      </c>
      <c r="F44" s="226">
        <f>3750+3750</f>
        <v>7500</v>
      </c>
      <c r="G44" s="278">
        <f t="shared" ref="G44" si="10">E44-F44</f>
        <v>7500</v>
      </c>
      <c r="H44" s="371"/>
      <c r="I44" s="372"/>
      <c r="J44" s="124"/>
      <c r="K44" s="124"/>
    </row>
    <row r="45" spans="1:11" s="234" customFormat="1" x14ac:dyDescent="0.15">
      <c r="A45" s="228" t="s">
        <v>266</v>
      </c>
      <c r="B45" s="232"/>
      <c r="C45" s="232" t="s">
        <v>270</v>
      </c>
      <c r="D45" s="373"/>
      <c r="E45" s="226">
        <v>13000</v>
      </c>
      <c r="F45" s="226">
        <f>3250</f>
        <v>3250</v>
      </c>
      <c r="G45" s="278">
        <f t="shared" ref="G45" si="11">E45-F45</f>
        <v>9750</v>
      </c>
      <c r="H45" s="371"/>
      <c r="I45" s="372"/>
      <c r="J45" s="124"/>
      <c r="K45" s="124"/>
    </row>
    <row r="46" spans="1:11" s="234" customFormat="1" x14ac:dyDescent="0.15">
      <c r="A46" s="228" t="s">
        <v>267</v>
      </c>
      <c r="B46" s="232"/>
      <c r="C46" s="232" t="s">
        <v>271</v>
      </c>
      <c r="D46" s="373"/>
      <c r="E46" s="226">
        <v>15000</v>
      </c>
      <c r="F46" s="226">
        <f>3750+3750+7500</f>
        <v>15000</v>
      </c>
      <c r="G46" s="278">
        <f t="shared" ref="G46" si="12">E46-F46</f>
        <v>0</v>
      </c>
      <c r="H46" s="371"/>
      <c r="I46" s="372"/>
      <c r="J46" s="124"/>
      <c r="K46" s="124"/>
    </row>
    <row r="47" spans="1:11" s="234" customFormat="1" x14ac:dyDescent="0.15">
      <c r="A47" s="228" t="s">
        <v>268</v>
      </c>
      <c r="B47" s="232"/>
      <c r="C47" s="232" t="s">
        <v>272</v>
      </c>
      <c r="D47" s="373"/>
      <c r="E47" s="226">
        <v>15000</v>
      </c>
      <c r="F47" s="226">
        <f>3750</f>
        <v>3750</v>
      </c>
      <c r="G47" s="278">
        <f t="shared" ref="G47" si="13">E47-F47</f>
        <v>11250</v>
      </c>
      <c r="H47" s="371"/>
      <c r="I47" s="372"/>
      <c r="J47" s="124"/>
      <c r="K47" s="124"/>
    </row>
    <row r="48" spans="1:11" s="234" customFormat="1" x14ac:dyDescent="0.15">
      <c r="A48" s="78" t="s">
        <v>100</v>
      </c>
      <c r="B48" s="232"/>
      <c r="C48" s="232"/>
      <c r="D48" s="373"/>
      <c r="E48" s="226"/>
      <c r="F48" s="226"/>
      <c r="G48" s="375"/>
      <c r="H48" s="371"/>
      <c r="I48" s="372"/>
      <c r="J48" s="124"/>
      <c r="K48" s="124"/>
    </row>
    <row r="49" spans="1:11" s="234" customFormat="1" x14ac:dyDescent="0.15">
      <c r="A49" s="228" t="s">
        <v>273</v>
      </c>
      <c r="B49" s="232"/>
      <c r="C49" s="232" t="s">
        <v>274</v>
      </c>
      <c r="D49" s="373"/>
      <c r="E49" s="226">
        <v>12000</v>
      </c>
      <c r="F49" s="226">
        <f>3000+3000+3000+1500+1500</f>
        <v>12000</v>
      </c>
      <c r="G49" s="278">
        <f t="shared" ref="G49:G51" si="14">E49-F49</f>
        <v>0</v>
      </c>
      <c r="H49" s="371"/>
      <c r="I49" s="372"/>
      <c r="J49" s="124"/>
      <c r="K49" s="124"/>
    </row>
    <row r="50" spans="1:11" s="234" customFormat="1" x14ac:dyDescent="0.15">
      <c r="A50" s="228" t="s">
        <v>285</v>
      </c>
      <c r="B50" s="232"/>
      <c r="C50" s="232" t="s">
        <v>275</v>
      </c>
      <c r="D50" s="373"/>
      <c r="E50" s="226">
        <v>18000</v>
      </c>
      <c r="F50" s="226">
        <f>4500+4500</f>
        <v>9000</v>
      </c>
      <c r="G50" s="278">
        <f t="shared" si="14"/>
        <v>9000</v>
      </c>
      <c r="H50" s="371"/>
      <c r="I50" s="372"/>
      <c r="J50" s="124"/>
      <c r="K50" s="124"/>
    </row>
    <row r="51" spans="1:11" s="234" customFormat="1" x14ac:dyDescent="0.15">
      <c r="A51" s="228" t="s">
        <v>286</v>
      </c>
      <c r="B51" s="232"/>
      <c r="C51" s="232" t="s">
        <v>276</v>
      </c>
      <c r="D51" s="373"/>
      <c r="E51" s="226">
        <v>20000</v>
      </c>
      <c r="F51" s="226">
        <f>5000+5000</f>
        <v>10000</v>
      </c>
      <c r="G51" s="278">
        <f t="shared" si="14"/>
        <v>10000</v>
      </c>
      <c r="H51" s="371"/>
      <c r="I51" s="372"/>
      <c r="J51" s="124"/>
      <c r="K51" s="124"/>
    </row>
    <row r="52" spans="1:11" s="234" customFormat="1" x14ac:dyDescent="0.15">
      <c r="A52" s="78" t="s">
        <v>101</v>
      </c>
      <c r="B52" s="232"/>
      <c r="C52" s="232"/>
      <c r="D52" s="373"/>
      <c r="E52" s="226"/>
      <c r="F52" s="226"/>
      <c r="G52" s="375"/>
      <c r="H52" s="371"/>
      <c r="I52" s="372"/>
      <c r="J52" s="124"/>
      <c r="K52" s="124"/>
    </row>
    <row r="53" spans="1:11" s="234" customFormat="1" x14ac:dyDescent="0.15">
      <c r="A53" s="216" t="s">
        <v>253</v>
      </c>
      <c r="B53" s="232"/>
      <c r="C53" s="232" t="s">
        <v>254</v>
      </c>
      <c r="D53" s="373"/>
      <c r="E53" s="226">
        <v>15000</v>
      </c>
      <c r="F53" s="226">
        <f>3750+3750</f>
        <v>7500</v>
      </c>
      <c r="G53" s="278">
        <f t="shared" ref="G53:G55" si="15">E53-F53</f>
        <v>7500</v>
      </c>
      <c r="H53" s="371"/>
      <c r="I53" s="372"/>
      <c r="J53" s="124"/>
      <c r="K53" s="124"/>
    </row>
    <row r="54" spans="1:11" s="234" customFormat="1" x14ac:dyDescent="0.15">
      <c r="A54" s="228" t="s">
        <v>238</v>
      </c>
      <c r="B54" s="232"/>
      <c r="C54" s="232" t="s">
        <v>239</v>
      </c>
      <c r="D54" s="373"/>
      <c r="E54" s="226">
        <v>15000</v>
      </c>
      <c r="F54" s="226">
        <f>3750+3750+3750+1875+1875</f>
        <v>15000</v>
      </c>
      <c r="G54" s="278">
        <f t="shared" si="15"/>
        <v>0</v>
      </c>
      <c r="H54" s="371"/>
      <c r="I54" s="372"/>
      <c r="J54" s="124"/>
      <c r="K54" s="124"/>
    </row>
    <row r="55" spans="1:11" s="234" customFormat="1" x14ac:dyDescent="0.15">
      <c r="A55" s="228" t="s">
        <v>240</v>
      </c>
      <c r="B55" s="232"/>
      <c r="C55" s="232" t="s">
        <v>241</v>
      </c>
      <c r="D55" s="373"/>
      <c r="E55" s="226">
        <v>15000</v>
      </c>
      <c r="F55" s="226">
        <f>3750+3750+3750+1875+1875</f>
        <v>15000</v>
      </c>
      <c r="G55" s="278">
        <f t="shared" si="15"/>
        <v>0</v>
      </c>
      <c r="H55" s="371"/>
      <c r="I55" s="372"/>
      <c r="J55" s="124"/>
      <c r="K55" s="124"/>
    </row>
    <row r="56" spans="1:11" s="234" customFormat="1" x14ac:dyDescent="0.15">
      <c r="A56" s="228" t="s">
        <v>277</v>
      </c>
      <c r="B56" s="232"/>
      <c r="C56" s="232" t="s">
        <v>281</v>
      </c>
      <c r="D56" s="373"/>
      <c r="E56" s="226">
        <v>15000</v>
      </c>
      <c r="F56" s="226">
        <f>3750+3750</f>
        <v>7500</v>
      </c>
      <c r="G56" s="278">
        <f t="shared" ref="G56:G59" si="16">E56-F56</f>
        <v>7500</v>
      </c>
      <c r="H56" s="371"/>
      <c r="I56" s="372"/>
      <c r="J56" s="124"/>
      <c r="K56" s="124"/>
    </row>
    <row r="57" spans="1:11" s="234" customFormat="1" x14ac:dyDescent="0.15">
      <c r="A57" s="228" t="s">
        <v>278</v>
      </c>
      <c r="B57" s="232"/>
      <c r="C57" s="232" t="s">
        <v>282</v>
      </c>
      <c r="D57" s="373"/>
      <c r="E57" s="226">
        <v>15000</v>
      </c>
      <c r="F57" s="226">
        <f>3750</f>
        <v>3750</v>
      </c>
      <c r="G57" s="278">
        <f t="shared" si="16"/>
        <v>11250</v>
      </c>
      <c r="H57" s="371"/>
      <c r="I57" s="372"/>
      <c r="J57" s="124"/>
      <c r="K57" s="124"/>
    </row>
    <row r="58" spans="1:11" s="234" customFormat="1" x14ac:dyDescent="0.15">
      <c r="A58" s="228" t="s">
        <v>279</v>
      </c>
      <c r="B58" s="232"/>
      <c r="C58" s="232" t="s">
        <v>283</v>
      </c>
      <c r="D58" s="373"/>
      <c r="E58" s="226">
        <v>15000</v>
      </c>
      <c r="F58" s="226">
        <f>3750+3750+3750</f>
        <v>11250</v>
      </c>
      <c r="G58" s="278">
        <f t="shared" si="16"/>
        <v>3750</v>
      </c>
      <c r="H58" s="371"/>
      <c r="I58" s="372"/>
      <c r="J58" s="124"/>
      <c r="K58" s="124"/>
    </row>
    <row r="59" spans="1:11" s="234" customFormat="1" x14ac:dyDescent="0.15">
      <c r="A59" s="228" t="s">
        <v>280</v>
      </c>
      <c r="B59" s="232"/>
      <c r="C59" s="232" t="s">
        <v>284</v>
      </c>
      <c r="D59" s="373"/>
      <c r="E59" s="226">
        <v>15000</v>
      </c>
      <c r="F59" s="226">
        <f>3750</f>
        <v>3750</v>
      </c>
      <c r="G59" s="278">
        <f t="shared" si="16"/>
        <v>11250</v>
      </c>
      <c r="H59" s="371"/>
      <c r="I59" s="372"/>
      <c r="J59" s="124"/>
      <c r="K59" s="124"/>
    </row>
    <row r="60" spans="1:11" s="16" customFormat="1" x14ac:dyDescent="0.15">
      <c r="A60" s="224"/>
      <c r="B60" s="220"/>
      <c r="C60" s="274" t="s">
        <v>242</v>
      </c>
      <c r="D60" s="77"/>
      <c r="E60" s="115">
        <f>SUM(E36:E59)</f>
        <v>295701</v>
      </c>
      <c r="F60" s="115">
        <f>SUM(F36:F59)</f>
        <v>183201</v>
      </c>
      <c r="G60" s="364">
        <f>SUM(G36:G59)</f>
        <v>112500</v>
      </c>
      <c r="H60" s="259"/>
      <c r="I60" s="157"/>
      <c r="J60" s="123"/>
      <c r="K60" s="123"/>
    </row>
    <row r="61" spans="1:11" s="16" customFormat="1" ht="16" x14ac:dyDescent="0.2">
      <c r="A61" s="83"/>
      <c r="B61" s="84"/>
      <c r="C61" s="182"/>
      <c r="D61" s="143"/>
      <c r="E61" s="141"/>
      <c r="F61" s="159"/>
      <c r="G61"/>
      <c r="H61" s="259"/>
      <c r="I61" s="128"/>
      <c r="J61" s="123"/>
      <c r="K61" s="123"/>
    </row>
    <row r="62" spans="1:11" s="16" customFormat="1" ht="16" x14ac:dyDescent="0.2">
      <c r="A62" s="83"/>
      <c r="B62" s="84"/>
      <c r="C62" s="182"/>
      <c r="D62" s="143"/>
      <c r="E62" s="141"/>
      <c r="F62" s="159"/>
      <c r="G62" s="384"/>
      <c r="H62" s="259"/>
      <c r="I62" s="128"/>
      <c r="J62" s="123"/>
      <c r="K62" s="123"/>
    </row>
    <row r="63" spans="1:11" s="16" customFormat="1" ht="16" x14ac:dyDescent="0.2">
      <c r="A63" s="83"/>
      <c r="B63" s="84"/>
      <c r="C63" s="182"/>
      <c r="D63" s="143"/>
      <c r="E63" s="141"/>
      <c r="F63" s="159"/>
      <c r="G63" s="16" t="s">
        <v>317</v>
      </c>
      <c r="H63" s="259"/>
      <c r="I63" s="128"/>
      <c r="J63" s="123"/>
      <c r="K63" s="123"/>
    </row>
    <row r="64" spans="1:11" s="16" customFormat="1" ht="16" x14ac:dyDescent="0.2">
      <c r="A64" s="83"/>
      <c r="B64" s="84"/>
      <c r="C64" s="182"/>
      <c r="D64" s="143"/>
      <c r="E64" s="141"/>
      <c r="F64" s="159"/>
      <c r="G64" s="384"/>
      <c r="H64" s="259"/>
      <c r="I64" s="128"/>
      <c r="J64" s="123"/>
      <c r="K64" s="123"/>
    </row>
    <row r="65" spans="1:11" s="16" customFormat="1" x14ac:dyDescent="0.15">
      <c r="A65" s="405" t="s">
        <v>1</v>
      </c>
      <c r="B65" s="396"/>
      <c r="C65" s="396"/>
      <c r="D65" s="396"/>
      <c r="E65" s="396"/>
      <c r="F65" s="396"/>
      <c r="G65" s="396"/>
      <c r="H65" s="259"/>
      <c r="I65" s="128"/>
      <c r="J65" s="123"/>
      <c r="K65" s="123"/>
    </row>
    <row r="66" spans="1:11" s="16" customFormat="1" x14ac:dyDescent="0.15">
      <c r="A66" s="408" t="s">
        <v>218</v>
      </c>
      <c r="B66" s="396"/>
      <c r="C66" s="396"/>
      <c r="D66" s="396"/>
      <c r="E66" s="396"/>
      <c r="F66" s="396"/>
      <c r="G66" s="396"/>
      <c r="H66" s="259"/>
      <c r="I66" s="128"/>
      <c r="J66" s="123"/>
      <c r="K66" s="123"/>
    </row>
    <row r="67" spans="1:11" s="16" customFormat="1" x14ac:dyDescent="0.15">
      <c r="A67" s="408" t="str">
        <f>A4</f>
        <v>STATUS OF DOMESTIC PROJECT PAYMENTS FOR THE PERIOD ENDED NOVEMBER 30, 2016</v>
      </c>
      <c r="B67" s="396"/>
      <c r="C67" s="396"/>
      <c r="D67" s="396"/>
      <c r="E67" s="396"/>
      <c r="F67" s="396"/>
      <c r="G67" s="396"/>
      <c r="H67" s="259"/>
      <c r="I67" s="128"/>
      <c r="J67" s="123"/>
      <c r="K67" s="123"/>
    </row>
    <row r="68" spans="1:11" s="16" customFormat="1" ht="16" x14ac:dyDescent="0.2">
      <c r="A68" s="83"/>
      <c r="B68" s="84"/>
      <c r="C68" s="182"/>
      <c r="D68" s="143"/>
      <c r="E68" s="141"/>
      <c r="F68" s="159"/>
      <c r="G68" s="384"/>
      <c r="H68" s="259"/>
      <c r="I68" s="128"/>
      <c r="J68" s="123"/>
      <c r="K68" s="123"/>
    </row>
    <row r="69" spans="1:11" s="16" customFormat="1" ht="16" x14ac:dyDescent="0.2">
      <c r="A69" s="219"/>
      <c r="B69" s="220"/>
      <c r="C69" s="76" t="s">
        <v>298</v>
      </c>
      <c r="D69" s="77"/>
      <c r="E69" s="142" t="s">
        <v>95</v>
      </c>
      <c r="F69" s="142" t="s">
        <v>96</v>
      </c>
      <c r="G69" s="342" t="s">
        <v>97</v>
      </c>
      <c r="H69" s="146"/>
      <c r="I69" s="157"/>
      <c r="J69" s="123"/>
      <c r="K69" s="123"/>
    </row>
    <row r="70" spans="1:11" s="16" customFormat="1" x14ac:dyDescent="0.15">
      <c r="A70" s="144" t="s">
        <v>98</v>
      </c>
      <c r="B70" s="232"/>
      <c r="C70" s="192"/>
      <c r="D70" s="187"/>
      <c r="E70" s="139"/>
      <c r="F70" s="139"/>
      <c r="G70" s="278"/>
      <c r="H70" s="259"/>
      <c r="I70" s="157"/>
      <c r="J70" s="123"/>
      <c r="K70" s="123"/>
    </row>
    <row r="71" spans="1:11" s="16" customFormat="1" x14ac:dyDescent="0.15">
      <c r="A71" s="228" t="s">
        <v>300</v>
      </c>
      <c r="B71" s="232"/>
      <c r="C71" s="233" t="s">
        <v>301</v>
      </c>
      <c r="D71" s="384"/>
      <c r="E71" s="226">
        <v>5000</v>
      </c>
      <c r="F71" s="226">
        <f>5000</f>
        <v>5000</v>
      </c>
      <c r="G71" s="278">
        <f t="shared" ref="G71:G73" si="17">E71-F71</f>
        <v>0</v>
      </c>
      <c r="H71" s="259"/>
      <c r="I71" s="157"/>
      <c r="J71" s="123"/>
      <c r="K71" s="123"/>
    </row>
    <row r="72" spans="1:11" s="16" customFormat="1" x14ac:dyDescent="0.15">
      <c r="A72" s="228" t="s">
        <v>326</v>
      </c>
      <c r="B72" s="232"/>
      <c r="C72" s="233" t="s">
        <v>328</v>
      </c>
      <c r="D72" s="388"/>
      <c r="E72" s="226">
        <v>3000</v>
      </c>
      <c r="F72" s="226"/>
      <c r="G72" s="278">
        <f t="shared" si="17"/>
        <v>3000</v>
      </c>
      <c r="H72" s="259"/>
      <c r="I72" s="157"/>
      <c r="J72" s="123"/>
      <c r="K72" s="123"/>
    </row>
    <row r="73" spans="1:11" s="16" customFormat="1" x14ac:dyDescent="0.15">
      <c r="A73" s="228" t="s">
        <v>327</v>
      </c>
      <c r="B73" s="232"/>
      <c r="C73" s="233" t="s">
        <v>250</v>
      </c>
      <c r="D73" s="388"/>
      <c r="E73" s="226">
        <v>3000</v>
      </c>
      <c r="F73" s="226"/>
      <c r="G73" s="278">
        <f t="shared" si="17"/>
        <v>3000</v>
      </c>
      <c r="H73" s="259"/>
      <c r="I73" s="157"/>
      <c r="J73" s="123"/>
      <c r="K73" s="123"/>
    </row>
    <row r="74" spans="1:11" s="16" customFormat="1" x14ac:dyDescent="0.15">
      <c r="A74" s="81" t="s">
        <v>99</v>
      </c>
      <c r="B74" s="232"/>
      <c r="C74" s="233"/>
      <c r="D74" s="384"/>
      <c r="E74" s="226"/>
      <c r="F74" s="226"/>
      <c r="G74" s="278"/>
      <c r="H74" s="259"/>
      <c r="I74" s="157"/>
      <c r="J74" s="123"/>
      <c r="K74" s="123"/>
    </row>
    <row r="75" spans="1:11" s="16" customFormat="1" x14ac:dyDescent="0.15">
      <c r="A75" s="228" t="s">
        <v>302</v>
      </c>
      <c r="B75" s="232"/>
      <c r="C75" s="233" t="s">
        <v>305</v>
      </c>
      <c r="D75" s="384"/>
      <c r="E75" s="226">
        <v>14300</v>
      </c>
      <c r="F75" s="226">
        <f>3575+3575+3575</f>
        <v>10725</v>
      </c>
      <c r="G75" s="278">
        <f t="shared" ref="G75:G80" si="18">E75-F75</f>
        <v>3575</v>
      </c>
      <c r="H75" s="259"/>
      <c r="I75" s="157"/>
      <c r="J75" s="123"/>
      <c r="K75" s="123"/>
    </row>
    <row r="76" spans="1:11" s="16" customFormat="1" x14ac:dyDescent="0.15">
      <c r="A76" s="228" t="s">
        <v>329</v>
      </c>
      <c r="B76" s="232"/>
      <c r="C76" s="233" t="s">
        <v>330</v>
      </c>
      <c r="D76" s="388"/>
      <c r="E76" s="226">
        <v>15000</v>
      </c>
      <c r="F76" s="226">
        <f>3750+3750</f>
        <v>7500</v>
      </c>
      <c r="G76" s="278">
        <f t="shared" si="18"/>
        <v>7500</v>
      </c>
      <c r="H76" s="259"/>
      <c r="I76" s="157"/>
      <c r="J76" s="123"/>
      <c r="K76" s="123"/>
    </row>
    <row r="77" spans="1:11" s="16" customFormat="1" x14ac:dyDescent="0.15">
      <c r="A77" s="228" t="s">
        <v>303</v>
      </c>
      <c r="B77" s="232"/>
      <c r="C77" s="233" t="s">
        <v>306</v>
      </c>
      <c r="D77" s="384"/>
      <c r="E77" s="226">
        <v>15000</v>
      </c>
      <c r="F77" s="226"/>
      <c r="G77" s="278">
        <f t="shared" si="18"/>
        <v>15000</v>
      </c>
      <c r="H77" s="259"/>
      <c r="I77" s="157"/>
      <c r="J77" s="123"/>
      <c r="K77" s="123"/>
    </row>
    <row r="78" spans="1:11" s="16" customFormat="1" x14ac:dyDescent="0.15">
      <c r="A78" s="228" t="s">
        <v>331</v>
      </c>
      <c r="B78" s="232"/>
      <c r="C78" s="233" t="s">
        <v>336</v>
      </c>
      <c r="D78" s="388"/>
      <c r="E78" s="226">
        <v>15000</v>
      </c>
      <c r="F78" s="226">
        <f>3750</f>
        <v>3750</v>
      </c>
      <c r="G78" s="278">
        <f t="shared" si="18"/>
        <v>11250</v>
      </c>
      <c r="H78" s="259"/>
      <c r="I78" s="157"/>
      <c r="J78" s="123"/>
      <c r="K78" s="123"/>
    </row>
    <row r="79" spans="1:11" s="16" customFormat="1" x14ac:dyDescent="0.15">
      <c r="A79" s="228" t="s">
        <v>304</v>
      </c>
      <c r="B79" s="232"/>
      <c r="C79" s="233" t="s">
        <v>307</v>
      </c>
      <c r="D79" s="384"/>
      <c r="E79" s="226">
        <v>4000</v>
      </c>
      <c r="F79" s="226">
        <f>1000</f>
        <v>1000</v>
      </c>
      <c r="G79" s="278">
        <f t="shared" si="18"/>
        <v>3000</v>
      </c>
      <c r="H79" s="259"/>
      <c r="I79" s="157"/>
      <c r="J79" s="123"/>
      <c r="K79" s="123"/>
    </row>
    <row r="80" spans="1:11" s="16" customFormat="1" x14ac:dyDescent="0.15">
      <c r="A80" s="228" t="s">
        <v>332</v>
      </c>
      <c r="B80" s="232"/>
      <c r="C80" s="233" t="s">
        <v>333</v>
      </c>
      <c r="D80" s="388"/>
      <c r="E80" s="226">
        <v>15000</v>
      </c>
      <c r="F80" s="226">
        <f>3750+3750</f>
        <v>7500</v>
      </c>
      <c r="G80" s="278">
        <f t="shared" si="18"/>
        <v>7500</v>
      </c>
      <c r="H80" s="259"/>
      <c r="I80" s="157"/>
      <c r="J80" s="123"/>
      <c r="K80" s="123"/>
    </row>
    <row r="81" spans="1:11" s="16" customFormat="1" x14ac:dyDescent="0.15">
      <c r="A81" s="78" t="s">
        <v>100</v>
      </c>
      <c r="B81" s="232"/>
      <c r="C81" s="233"/>
      <c r="D81" s="384"/>
      <c r="E81" s="226"/>
      <c r="F81" s="226"/>
      <c r="G81" s="278"/>
      <c r="H81" s="259"/>
      <c r="I81" s="157"/>
      <c r="J81" s="123"/>
      <c r="K81" s="123"/>
    </row>
    <row r="82" spans="1:11" s="16" customFormat="1" x14ac:dyDescent="0.15">
      <c r="A82" s="228" t="s">
        <v>309</v>
      </c>
      <c r="B82" s="232"/>
      <c r="C82" s="233" t="s">
        <v>310</v>
      </c>
      <c r="D82" s="384"/>
      <c r="E82" s="226">
        <v>15000</v>
      </c>
      <c r="F82" s="226">
        <f>3750+3750</f>
        <v>7500</v>
      </c>
      <c r="G82" s="278">
        <f t="shared" ref="G82:G84" si="19">E82-F82</f>
        <v>7500</v>
      </c>
      <c r="H82" s="259"/>
      <c r="I82" s="157"/>
      <c r="J82" s="123"/>
      <c r="K82" s="123"/>
    </row>
    <row r="83" spans="1:11" s="16" customFormat="1" x14ac:dyDescent="0.15">
      <c r="A83" s="228" t="s">
        <v>311</v>
      </c>
      <c r="B83" s="232"/>
      <c r="C83" s="233" t="s">
        <v>312</v>
      </c>
      <c r="D83" s="384"/>
      <c r="E83" s="226">
        <v>14450</v>
      </c>
      <c r="F83" s="226">
        <f>3612.5+3612.5</f>
        <v>7225</v>
      </c>
      <c r="G83" s="278">
        <f t="shared" si="19"/>
        <v>7225</v>
      </c>
      <c r="H83" s="259"/>
      <c r="I83" s="157"/>
      <c r="J83" s="123"/>
      <c r="K83" s="123"/>
    </row>
    <row r="84" spans="1:11" s="16" customFormat="1" x14ac:dyDescent="0.15">
      <c r="A84" s="228" t="s">
        <v>334</v>
      </c>
      <c r="B84" s="232"/>
      <c r="C84" s="233" t="s">
        <v>335</v>
      </c>
      <c r="D84" s="388"/>
      <c r="E84" s="226">
        <v>15000</v>
      </c>
      <c r="F84" s="226">
        <f>7500</f>
        <v>7500</v>
      </c>
      <c r="G84" s="278">
        <f t="shared" si="19"/>
        <v>7500</v>
      </c>
      <c r="H84" s="259"/>
      <c r="I84" s="157"/>
      <c r="J84" s="123"/>
      <c r="K84" s="123"/>
    </row>
    <row r="85" spans="1:11" s="16" customFormat="1" x14ac:dyDescent="0.15">
      <c r="A85" s="78" t="s">
        <v>101</v>
      </c>
      <c r="B85" s="232"/>
      <c r="C85" s="233"/>
      <c r="D85" s="384"/>
      <c r="E85" s="226"/>
      <c r="F85" s="226"/>
      <c r="G85" s="278"/>
      <c r="H85" s="259"/>
      <c r="I85" s="157"/>
      <c r="J85" s="123"/>
      <c r="K85" s="123"/>
    </row>
    <row r="86" spans="1:11" s="16" customFormat="1" x14ac:dyDescent="0.15">
      <c r="A86" s="228" t="s">
        <v>313</v>
      </c>
      <c r="B86" s="232"/>
      <c r="C86" s="233" t="s">
        <v>314</v>
      </c>
      <c r="D86" s="194"/>
      <c r="E86" s="389">
        <f>14450+450</f>
        <v>14900</v>
      </c>
      <c r="F86" s="226">
        <f>3725+3725</f>
        <v>7450</v>
      </c>
      <c r="G86" s="278">
        <f>E86-F86</f>
        <v>7450</v>
      </c>
      <c r="H86" s="259"/>
      <c r="I86" s="157"/>
      <c r="J86" s="123"/>
      <c r="K86" s="123"/>
    </row>
    <row r="87" spans="1:11" s="16" customFormat="1" x14ac:dyDescent="0.15">
      <c r="A87" s="228" t="s">
        <v>315</v>
      </c>
      <c r="B87" s="232"/>
      <c r="C87" s="233" t="s">
        <v>316</v>
      </c>
      <c r="D87" s="388"/>
      <c r="E87" s="226">
        <v>15000</v>
      </c>
      <c r="F87" s="226">
        <f>3750+3750+3750</f>
        <v>11250</v>
      </c>
      <c r="G87" s="278">
        <f>E87-F87</f>
        <v>3750</v>
      </c>
      <c r="H87" s="259"/>
      <c r="I87" s="157"/>
      <c r="J87" s="123"/>
      <c r="K87" s="123"/>
    </row>
    <row r="88" spans="1:11" s="16" customFormat="1" x14ac:dyDescent="0.15">
      <c r="A88" s="228" t="s">
        <v>324</v>
      </c>
      <c r="B88" s="232"/>
      <c r="C88" s="233" t="s">
        <v>325</v>
      </c>
      <c r="D88" s="384"/>
      <c r="E88" s="226">
        <v>13000</v>
      </c>
      <c r="F88" s="226">
        <f>3250</f>
        <v>3250</v>
      </c>
      <c r="G88" s="278">
        <f>E88-F88</f>
        <v>9750</v>
      </c>
      <c r="H88" s="259"/>
      <c r="I88" s="157"/>
      <c r="J88" s="123"/>
      <c r="K88" s="123"/>
    </row>
    <row r="89" spans="1:11" s="16" customFormat="1" x14ac:dyDescent="0.15">
      <c r="A89" s="224"/>
      <c r="B89" s="220"/>
      <c r="C89" s="274" t="s">
        <v>299</v>
      </c>
      <c r="D89" s="77"/>
      <c r="E89" s="115">
        <f>SUM(E70:E88)</f>
        <v>176650</v>
      </c>
      <c r="F89" s="115">
        <f>SUM(F70:F88)</f>
        <v>79650</v>
      </c>
      <c r="G89" s="116">
        <f>SUM(G70:G88)</f>
        <v>97000</v>
      </c>
      <c r="H89" s="259"/>
      <c r="I89" s="157"/>
      <c r="J89" s="123"/>
      <c r="K89" s="123"/>
    </row>
    <row r="90" spans="1:11" s="234" customFormat="1" x14ac:dyDescent="0.15">
      <c r="A90" s="230"/>
      <c r="B90" s="232"/>
      <c r="C90" s="385"/>
      <c r="D90" s="386"/>
      <c r="E90" s="161"/>
      <c r="F90" s="161"/>
      <c r="G90" s="387"/>
      <c r="H90" s="371"/>
      <c r="I90" s="372"/>
      <c r="J90" s="124"/>
      <c r="K90" s="124"/>
    </row>
    <row r="91" spans="1:11" s="16" customFormat="1" ht="17.25" customHeight="1" x14ac:dyDescent="0.2">
      <c r="A91" s="83"/>
      <c r="B91" s="84"/>
      <c r="C91" s="351" t="s">
        <v>219</v>
      </c>
      <c r="D91" s="352"/>
      <c r="E91" s="353">
        <f>E9+E17+E33+E60+E89</f>
        <v>673606</v>
      </c>
      <c r="F91" s="353">
        <f>F9+F17+F33+F60+F89</f>
        <v>428231</v>
      </c>
      <c r="G91" s="362">
        <f>+G9+G17+G33+G60+G89</f>
        <v>225375</v>
      </c>
      <c r="H91" s="259"/>
      <c r="I91" s="146"/>
      <c r="J91" s="123"/>
      <c r="K91" s="123"/>
    </row>
    <row r="92" spans="1:11" s="16" customFormat="1" ht="16" x14ac:dyDescent="0.2">
      <c r="A92" s="83"/>
      <c r="B92" s="84"/>
      <c r="C92" s="182"/>
      <c r="D92" s="143"/>
      <c r="E92" s="141"/>
      <c r="F92" s="159"/>
      <c r="G92" s="350"/>
      <c r="H92" s="259"/>
      <c r="I92" s="128"/>
      <c r="J92" s="123"/>
      <c r="K92" s="123"/>
    </row>
    <row r="93" spans="1:11" s="16" customFormat="1" x14ac:dyDescent="0.15">
      <c r="A93" s="236"/>
      <c r="C93" s="16" t="s">
        <v>290</v>
      </c>
      <c r="D93" s="75"/>
      <c r="E93" s="119">
        <v>350367</v>
      </c>
      <c r="F93" s="160"/>
      <c r="G93" s="194"/>
      <c r="H93" s="259"/>
      <c r="I93" s="128"/>
      <c r="J93" s="123"/>
      <c r="K93" s="123"/>
    </row>
    <row r="94" spans="1:11" s="16" customFormat="1" x14ac:dyDescent="0.15">
      <c r="A94" s="236"/>
      <c r="C94" s="16" t="s">
        <v>291</v>
      </c>
      <c r="D94" s="75"/>
      <c r="E94" s="119">
        <f>-E89</f>
        <v>-176650</v>
      </c>
      <c r="F94" s="160"/>
      <c r="G94" s="194"/>
      <c r="H94" s="259"/>
      <c r="I94" s="128"/>
      <c r="J94" s="123"/>
      <c r="K94" s="123"/>
    </row>
    <row r="95" spans="1:11" x14ac:dyDescent="0.15">
      <c r="A95" s="236"/>
      <c r="B95" s="16"/>
      <c r="C95" s="16" t="s">
        <v>292</v>
      </c>
      <c r="D95" s="75"/>
      <c r="E95" s="161">
        <f>SUM(E93:E94)</f>
        <v>173717</v>
      </c>
      <c r="F95" s="160"/>
      <c r="G95" s="194"/>
      <c r="H95" s="250"/>
    </row>
    <row r="96" spans="1:11" x14ac:dyDescent="0.15">
      <c r="A96" s="236"/>
      <c r="B96" s="16"/>
      <c r="C96" s="75"/>
      <c r="D96" s="75"/>
      <c r="E96" s="134"/>
      <c r="F96" s="160"/>
      <c r="G96" s="194"/>
    </row>
    <row r="97" spans="1:9" x14ac:dyDescent="0.15">
      <c r="A97" s="16"/>
      <c r="B97" s="16"/>
      <c r="C97" s="237"/>
      <c r="D97" s="221"/>
      <c r="E97" s="221"/>
      <c r="F97" s="221"/>
    </row>
    <row r="98" spans="1:9" x14ac:dyDescent="0.15">
      <c r="A98" s="16"/>
      <c r="B98" s="16"/>
      <c r="C98" s="16" t="s">
        <v>293</v>
      </c>
      <c r="E98" s="337" t="s">
        <v>95</v>
      </c>
      <c r="F98" s="337">
        <v>2016</v>
      </c>
    </row>
    <row r="99" spans="1:9" x14ac:dyDescent="0.15">
      <c r="A99" s="16"/>
      <c r="B99" s="16"/>
      <c r="C99"/>
      <c r="E99" s="338" t="s">
        <v>185</v>
      </c>
      <c r="F99" s="337" t="s">
        <v>21</v>
      </c>
    </row>
    <row r="100" spans="1:9" x14ac:dyDescent="0.15">
      <c r="A100" s="16"/>
      <c r="B100" s="16"/>
      <c r="C100" t="s">
        <v>122</v>
      </c>
      <c r="E100" s="7">
        <f>5000+3000+3000</f>
        <v>11000</v>
      </c>
      <c r="F100" s="7">
        <v>87592</v>
      </c>
      <c r="G100" s="366">
        <v>0.12</v>
      </c>
    </row>
    <row r="101" spans="1:9" x14ac:dyDescent="0.15">
      <c r="A101" s="16"/>
      <c r="B101" s="16"/>
      <c r="C101" t="s">
        <v>121</v>
      </c>
      <c r="E101" s="7">
        <f>14300+15000+4000+15000+15000+15000</f>
        <v>78300</v>
      </c>
      <c r="F101" s="7">
        <v>87592</v>
      </c>
      <c r="G101" s="366">
        <v>0.89</v>
      </c>
    </row>
    <row r="102" spans="1:9" x14ac:dyDescent="0.15">
      <c r="A102" s="16"/>
      <c r="B102" s="16"/>
      <c r="C102" t="s">
        <v>123</v>
      </c>
      <c r="E102" s="7">
        <f>15000+14450+15000</f>
        <v>44450</v>
      </c>
      <c r="F102" s="7">
        <v>87591</v>
      </c>
      <c r="G102" s="366">
        <v>0.51</v>
      </c>
      <c r="I102" s="178"/>
    </row>
    <row r="103" spans="1:9" x14ac:dyDescent="0.15">
      <c r="A103" s="16"/>
      <c r="B103" s="16"/>
      <c r="C103" t="s">
        <v>124</v>
      </c>
      <c r="E103" s="7">
        <f>14450+15000+13000+450</f>
        <v>42900</v>
      </c>
      <c r="F103" s="7">
        <v>87592</v>
      </c>
      <c r="G103" s="366">
        <v>0.49</v>
      </c>
    </row>
    <row r="104" spans="1:9" ht="14" thickBot="1" x14ac:dyDescent="0.2">
      <c r="A104" s="16"/>
      <c r="B104" s="16"/>
      <c r="C104" s="16" t="s">
        <v>294</v>
      </c>
      <c r="E104" s="323">
        <f>SUM(E100:E103)</f>
        <v>176650</v>
      </c>
      <c r="F104" s="323">
        <f>SUM(F100:F103)</f>
        <v>350367</v>
      </c>
      <c r="G104" s="366">
        <v>0.5</v>
      </c>
    </row>
    <row r="105" spans="1:9" ht="14" thickTop="1" x14ac:dyDescent="0.15">
      <c r="A105" s="16"/>
      <c r="B105" s="16"/>
      <c r="C105"/>
    </row>
    <row r="106" spans="1:9" x14ac:dyDescent="0.15">
      <c r="A106" s="16"/>
      <c r="B106" s="16"/>
      <c r="C106" s="237"/>
      <c r="D106" s="221"/>
      <c r="E106" s="221"/>
      <c r="F106" s="221"/>
    </row>
    <row r="107" spans="1:9" x14ac:dyDescent="0.15">
      <c r="A107" s="91"/>
      <c r="D107" s="87"/>
      <c r="E107" s="7"/>
      <c r="F107" s="7"/>
      <c r="G107" s="16" t="s">
        <v>102</v>
      </c>
    </row>
    <row r="108" spans="1:9" x14ac:dyDescent="0.15">
      <c r="A108" s="91"/>
      <c r="C108" s="8"/>
      <c r="D108" s="8"/>
      <c r="E108" s="9"/>
      <c r="F108" s="9"/>
    </row>
    <row r="109" spans="1:9" x14ac:dyDescent="0.15">
      <c r="A109" s="91"/>
      <c r="C109" s="8"/>
      <c r="D109" s="8"/>
      <c r="E109" s="9"/>
      <c r="F109" s="9"/>
    </row>
    <row r="110" spans="1:9" x14ac:dyDescent="0.15">
      <c r="A110" s="85"/>
      <c r="C110" s="8"/>
      <c r="D110" s="89"/>
      <c r="E110" s="9"/>
      <c r="F110" s="9"/>
    </row>
    <row r="111" spans="1:9" x14ac:dyDescent="0.15">
      <c r="A111" s="90"/>
      <c r="D111" s="92"/>
      <c r="E111" s="7"/>
      <c r="F111" s="7"/>
    </row>
    <row r="112" spans="1:9" x14ac:dyDescent="0.15">
      <c r="A112" s="90"/>
      <c r="D112" s="92"/>
      <c r="E112" s="7"/>
      <c r="F112" s="7"/>
    </row>
    <row r="113" spans="1:6" x14ac:dyDescent="0.15">
      <c r="A113" s="90"/>
      <c r="D113" s="92"/>
      <c r="E113" s="7"/>
      <c r="F113" s="7"/>
    </row>
    <row r="114" spans="1:6" x14ac:dyDescent="0.15">
      <c r="A114" s="90"/>
      <c r="D114" s="92"/>
      <c r="E114" s="7"/>
      <c r="F114" s="7"/>
    </row>
    <row r="115" spans="1:6" x14ac:dyDescent="0.15">
      <c r="A115" s="90"/>
      <c r="D115" s="92"/>
      <c r="E115" s="7"/>
      <c r="F115" s="7"/>
    </row>
    <row r="116" spans="1:6" x14ac:dyDescent="0.15">
      <c r="A116" s="90"/>
      <c r="D116" s="92"/>
      <c r="E116" s="7"/>
      <c r="F116" s="7"/>
    </row>
    <row r="117" spans="1:6" x14ac:dyDescent="0.15">
      <c r="A117" s="91"/>
      <c r="D117" s="92"/>
      <c r="E117" s="7"/>
      <c r="F117" s="7"/>
    </row>
    <row r="118" spans="1:6" x14ac:dyDescent="0.15">
      <c r="A118" s="91"/>
      <c r="C118" s="8"/>
      <c r="D118" s="8"/>
      <c r="E118" s="9"/>
      <c r="F118" s="9"/>
    </row>
    <row r="119" spans="1:6" x14ac:dyDescent="0.15">
      <c r="A119" s="91"/>
      <c r="C119" s="8"/>
      <c r="D119" s="8"/>
      <c r="E119" s="9"/>
      <c r="F119" s="9"/>
    </row>
    <row r="120" spans="1:6" x14ac:dyDescent="0.15">
      <c r="A120" s="91"/>
      <c r="C120" s="8"/>
      <c r="D120" s="8"/>
      <c r="E120" s="9"/>
      <c r="F120" s="9"/>
    </row>
    <row r="121" spans="1:6" x14ac:dyDescent="0.15">
      <c r="A121" s="91"/>
      <c r="C121" s="8"/>
      <c r="D121" s="8"/>
      <c r="E121" s="9"/>
      <c r="F121" s="9"/>
    </row>
    <row r="122" spans="1:6" x14ac:dyDescent="0.15">
      <c r="A122" s="91"/>
      <c r="C122" s="8"/>
      <c r="D122" s="8"/>
      <c r="E122" s="9"/>
      <c r="F122" s="9"/>
    </row>
    <row r="123" spans="1:6" x14ac:dyDescent="0.15">
      <c r="A123" s="93"/>
      <c r="C123" s="8"/>
      <c r="D123" s="8"/>
      <c r="E123" s="9"/>
      <c r="F123" s="9"/>
    </row>
    <row r="124" spans="1:6" x14ac:dyDescent="0.15">
      <c r="A124" s="91"/>
      <c r="C124" s="8"/>
      <c r="D124" s="8"/>
      <c r="E124" s="9"/>
      <c r="F124" s="9"/>
    </row>
    <row r="125" spans="1:6" x14ac:dyDescent="0.15">
      <c r="A125" s="91"/>
      <c r="C125" s="8"/>
      <c r="D125" s="8"/>
      <c r="E125" s="9"/>
      <c r="F125" s="9"/>
    </row>
    <row r="126" spans="1:6" x14ac:dyDescent="0.15">
      <c r="A126" s="91"/>
      <c r="C126" s="8"/>
      <c r="D126" s="8"/>
      <c r="E126" s="9"/>
      <c r="F126" s="9"/>
    </row>
    <row r="127" spans="1:6" x14ac:dyDescent="0.15">
      <c r="A127" s="91"/>
      <c r="C127" s="8"/>
      <c r="D127" s="8"/>
      <c r="E127" s="9"/>
      <c r="F127" s="9"/>
    </row>
    <row r="128" spans="1:6" x14ac:dyDescent="0.15">
      <c r="A128" s="91"/>
      <c r="C128" s="8"/>
      <c r="D128" s="8"/>
      <c r="E128" s="9"/>
      <c r="F128" s="9"/>
    </row>
    <row r="129" spans="1:6" x14ac:dyDescent="0.15">
      <c r="A129" s="91"/>
      <c r="C129" s="8"/>
      <c r="D129" s="8"/>
      <c r="E129" s="9"/>
      <c r="F129" s="9"/>
    </row>
    <row r="130" spans="1:6" x14ac:dyDescent="0.15">
      <c r="A130" s="91"/>
      <c r="C130" s="8"/>
      <c r="D130" s="8"/>
      <c r="E130" s="9"/>
      <c r="F130" s="9"/>
    </row>
    <row r="131" spans="1:6" x14ac:dyDescent="0.15">
      <c r="A131" s="91"/>
      <c r="C131" s="8"/>
      <c r="D131" s="8"/>
      <c r="E131" s="9"/>
      <c r="F131" s="9"/>
    </row>
    <row r="132" spans="1:6" x14ac:dyDescent="0.15">
      <c r="A132" s="91"/>
      <c r="C132" s="8"/>
      <c r="D132" s="8"/>
      <c r="E132" s="9"/>
      <c r="F132" s="9"/>
    </row>
    <row r="133" spans="1:6" x14ac:dyDescent="0.15">
      <c r="A133" s="85"/>
      <c r="B133" s="8"/>
      <c r="C133" s="184"/>
      <c r="E133" s="86"/>
      <c r="F133" s="86"/>
    </row>
    <row r="134" spans="1:6" x14ac:dyDescent="0.15">
      <c r="A134" s="85"/>
      <c r="B134" s="8"/>
      <c r="C134" s="184"/>
      <c r="E134" s="86"/>
      <c r="F134" s="86"/>
    </row>
    <row r="135" spans="1:6" x14ac:dyDescent="0.15">
      <c r="A135" s="85"/>
      <c r="B135" s="8"/>
      <c r="C135" s="184"/>
      <c r="E135" s="86"/>
      <c r="F135" s="86"/>
    </row>
    <row r="136" spans="1:6" x14ac:dyDescent="0.15">
      <c r="A136" s="85"/>
      <c r="B136" s="8"/>
      <c r="C136" s="184"/>
      <c r="E136" s="86"/>
      <c r="F136" s="86"/>
    </row>
    <row r="137" spans="1:6" x14ac:dyDescent="0.15">
      <c r="A137" s="85"/>
      <c r="B137" s="8"/>
      <c r="C137" s="8"/>
      <c r="E137" s="9"/>
      <c r="F137" s="9"/>
    </row>
    <row r="138" spans="1:6" x14ac:dyDescent="0.15">
      <c r="A138" s="94"/>
      <c r="B138" s="8"/>
      <c r="C138" s="6"/>
      <c r="E138" s="88"/>
      <c r="F138" s="88"/>
    </row>
    <row r="140" spans="1:6" x14ac:dyDescent="0.15">
      <c r="A140" s="85"/>
      <c r="C140" s="8"/>
      <c r="D140" s="89"/>
      <c r="E140" s="9"/>
      <c r="F140" s="9"/>
    </row>
    <row r="141" spans="1:6" x14ac:dyDescent="0.15">
      <c r="A141" s="90"/>
      <c r="D141" s="92"/>
      <c r="E141" s="7"/>
      <c r="F141" s="7"/>
    </row>
    <row r="142" spans="1:6" x14ac:dyDescent="0.15">
      <c r="A142" s="90"/>
      <c r="D142" s="92"/>
      <c r="E142" s="7"/>
      <c r="F142" s="7"/>
    </row>
    <row r="143" spans="1:6" x14ac:dyDescent="0.15">
      <c r="A143" s="90"/>
      <c r="D143" s="92"/>
      <c r="E143" s="7"/>
      <c r="F143" s="7"/>
    </row>
    <row r="144" spans="1:6" x14ac:dyDescent="0.15">
      <c r="A144" s="90"/>
      <c r="D144" s="92"/>
      <c r="E144" s="7"/>
      <c r="F144" s="7"/>
    </row>
    <row r="145" spans="1:8" x14ac:dyDescent="0.15">
      <c r="A145" s="90"/>
      <c r="D145" s="92"/>
      <c r="E145" s="7"/>
      <c r="F145" s="7"/>
    </row>
    <row r="146" spans="1:8" x14ac:dyDescent="0.15">
      <c r="A146" s="90"/>
      <c r="D146" s="92"/>
      <c r="E146" s="7"/>
      <c r="F146" s="7"/>
    </row>
    <row r="147" spans="1:8" x14ac:dyDescent="0.15">
      <c r="A147" s="90"/>
      <c r="D147" s="92"/>
      <c r="E147" s="7"/>
      <c r="F147" s="7"/>
      <c r="H147" s="158"/>
    </row>
    <row r="148" spans="1:8" x14ac:dyDescent="0.15">
      <c r="A148" s="90"/>
      <c r="D148" s="92"/>
      <c r="E148" s="7"/>
      <c r="F148" s="7"/>
      <c r="H148" s="158"/>
    </row>
    <row r="149" spans="1:8" x14ac:dyDescent="0.15">
      <c r="A149" s="90"/>
      <c r="D149" s="92"/>
      <c r="E149" s="7"/>
      <c r="F149" s="7"/>
      <c r="H149" s="158"/>
    </row>
    <row r="150" spans="1:8" x14ac:dyDescent="0.15">
      <c r="A150" s="90"/>
      <c r="D150" s="92"/>
      <c r="E150" s="7"/>
      <c r="F150" s="7"/>
      <c r="H150" s="158"/>
    </row>
    <row r="151" spans="1:8" x14ac:dyDescent="0.15">
      <c r="A151" s="90"/>
      <c r="D151" s="92"/>
      <c r="E151" s="7"/>
      <c r="F151" s="7"/>
      <c r="H151" s="158"/>
    </row>
    <row r="152" spans="1:8" x14ac:dyDescent="0.15">
      <c r="A152" s="90"/>
      <c r="D152" s="92"/>
      <c r="E152" s="7"/>
      <c r="F152" s="7"/>
      <c r="H152" s="158"/>
    </row>
    <row r="153" spans="1:8" x14ac:dyDescent="0.15">
      <c r="A153" s="90"/>
      <c r="D153" s="92"/>
      <c r="E153" s="7"/>
      <c r="F153" s="7"/>
      <c r="H153" s="158"/>
    </row>
    <row r="154" spans="1:8" x14ac:dyDescent="0.15">
      <c r="A154" s="90"/>
      <c r="D154" s="92"/>
      <c r="E154" s="7"/>
      <c r="F154" s="7"/>
      <c r="H154" s="158"/>
    </row>
    <row r="155" spans="1:8" x14ac:dyDescent="0.15">
      <c r="A155" s="91"/>
      <c r="C155" s="8"/>
      <c r="D155" s="8"/>
      <c r="E155" s="9"/>
      <c r="F155" s="9"/>
      <c r="H155" s="158"/>
    </row>
    <row r="156" spans="1:8" x14ac:dyDescent="0.15">
      <c r="A156" s="91"/>
      <c r="C156" s="8"/>
      <c r="D156" s="8"/>
      <c r="E156" s="9"/>
      <c r="F156" s="9"/>
      <c r="H156" s="158"/>
    </row>
    <row r="157" spans="1:8" x14ac:dyDescent="0.15">
      <c r="A157" s="85"/>
      <c r="C157" s="8"/>
      <c r="D157" s="8"/>
      <c r="E157" s="9"/>
      <c r="F157" s="9"/>
      <c r="H157" s="158"/>
    </row>
    <row r="158" spans="1:8" x14ac:dyDescent="0.15">
      <c r="A158" s="95"/>
      <c r="B158" s="38"/>
      <c r="C158" s="50"/>
      <c r="D158" s="50"/>
      <c r="E158" s="10"/>
      <c r="F158" s="10"/>
      <c r="H158" s="158"/>
    </row>
    <row r="159" spans="1:8" x14ac:dyDescent="0.15">
      <c r="A159" s="95"/>
      <c r="B159" s="38"/>
      <c r="C159" s="50"/>
      <c r="D159" s="50"/>
      <c r="E159" s="10"/>
      <c r="F159" s="10"/>
    </row>
    <row r="160" spans="1:8" x14ac:dyDescent="0.15">
      <c r="A160" s="95"/>
      <c r="B160" s="38"/>
      <c r="C160" s="50"/>
      <c r="D160" s="50"/>
      <c r="E160" s="10"/>
      <c r="F160" s="10"/>
    </row>
    <row r="161" spans="1:6" x14ac:dyDescent="0.15">
      <c r="A161" s="95"/>
      <c r="B161" s="38"/>
      <c r="C161" s="50"/>
      <c r="D161" s="50"/>
      <c r="E161" s="10"/>
      <c r="F161" s="10"/>
    </row>
    <row r="162" spans="1:6" x14ac:dyDescent="0.15">
      <c r="A162" s="95"/>
      <c r="B162" s="38"/>
      <c r="C162" s="50"/>
      <c r="D162" s="50"/>
      <c r="E162" s="10"/>
      <c r="F162" s="10"/>
    </row>
    <row r="163" spans="1:6" x14ac:dyDescent="0.15">
      <c r="A163" s="95"/>
      <c r="B163" s="38"/>
      <c r="C163" s="50"/>
      <c r="D163" s="50"/>
      <c r="E163" s="10"/>
      <c r="F163" s="10"/>
    </row>
    <row r="164" spans="1:6" x14ac:dyDescent="0.15">
      <c r="A164" s="95"/>
      <c r="B164" s="38"/>
      <c r="C164" s="8"/>
      <c r="D164" s="8"/>
      <c r="E164" s="9"/>
      <c r="F164" s="9"/>
    </row>
    <row r="165" spans="1:6" x14ac:dyDescent="0.15">
      <c r="A165" s="95"/>
      <c r="B165" s="38"/>
      <c r="C165" s="50"/>
      <c r="D165" s="50"/>
      <c r="E165" s="10"/>
      <c r="F165" s="10"/>
    </row>
    <row r="166" spans="1:6" x14ac:dyDescent="0.15">
      <c r="A166" s="95"/>
      <c r="B166" s="38"/>
      <c r="C166" s="50"/>
      <c r="D166" s="50"/>
      <c r="E166" s="10"/>
      <c r="F166" s="10"/>
    </row>
    <row r="167" spans="1:6" x14ac:dyDescent="0.15">
      <c r="A167" s="95"/>
      <c r="B167" s="38"/>
      <c r="C167" s="50"/>
      <c r="D167" s="50"/>
      <c r="E167" s="10"/>
      <c r="F167" s="10"/>
    </row>
    <row r="168" spans="1:6" x14ac:dyDescent="0.15">
      <c r="A168" s="95"/>
      <c r="B168" s="38"/>
      <c r="C168" s="50"/>
      <c r="D168" s="50"/>
      <c r="E168" s="10"/>
      <c r="F168" s="10"/>
    </row>
    <row r="169" spans="1:6" x14ac:dyDescent="0.15">
      <c r="A169" s="95"/>
      <c r="B169" s="38"/>
      <c r="C169" s="50"/>
      <c r="D169" s="50"/>
      <c r="E169" s="10"/>
      <c r="F169" s="10"/>
    </row>
    <row r="170" spans="1:6" x14ac:dyDescent="0.15">
      <c r="A170" s="91"/>
      <c r="C170" s="8"/>
      <c r="D170" s="8"/>
      <c r="E170" s="9"/>
      <c r="F170" s="9"/>
    </row>
    <row r="171" spans="1:6" x14ac:dyDescent="0.15">
      <c r="A171" s="91"/>
      <c r="C171" s="8"/>
      <c r="D171" s="8"/>
      <c r="E171" s="9"/>
      <c r="F171" s="9"/>
    </row>
    <row r="172" spans="1:6" x14ac:dyDescent="0.15">
      <c r="A172" s="91"/>
      <c r="C172" s="8"/>
      <c r="D172" s="8"/>
      <c r="E172" s="9"/>
      <c r="F172" s="9"/>
    </row>
    <row r="173" spans="1:6" x14ac:dyDescent="0.15">
      <c r="A173" s="91"/>
      <c r="C173" s="8"/>
      <c r="D173" s="8"/>
      <c r="E173" s="9"/>
      <c r="F173" s="9"/>
    </row>
    <row r="174" spans="1:6" x14ac:dyDescent="0.15">
      <c r="A174" s="91"/>
      <c r="C174" s="8"/>
      <c r="D174" s="89"/>
      <c r="E174" s="9"/>
      <c r="F174" s="9"/>
    </row>
    <row r="175" spans="1:6" x14ac:dyDescent="0.15">
      <c r="A175" s="91"/>
      <c r="C175" s="8"/>
      <c r="D175" s="89"/>
      <c r="E175" s="9"/>
      <c r="F175" s="9"/>
    </row>
    <row r="176" spans="1:6" x14ac:dyDescent="0.15">
      <c r="A176" s="91"/>
      <c r="C176" s="8"/>
      <c r="D176" s="89"/>
      <c r="E176" s="9"/>
      <c r="F176" s="9"/>
    </row>
    <row r="177" spans="1:6" x14ac:dyDescent="0.15">
      <c r="A177" s="91"/>
      <c r="C177" s="8"/>
      <c r="D177" s="89"/>
      <c r="E177" s="9"/>
      <c r="F177" s="9"/>
    </row>
    <row r="178" spans="1:6" x14ac:dyDescent="0.15">
      <c r="A178" s="91"/>
      <c r="C178" s="8"/>
      <c r="D178" s="89"/>
      <c r="E178" s="9"/>
      <c r="F178" s="9"/>
    </row>
    <row r="179" spans="1:6" x14ac:dyDescent="0.15">
      <c r="A179" s="91"/>
      <c r="F179" s="9"/>
    </row>
    <row r="180" spans="1:6" x14ac:dyDescent="0.15">
      <c r="A180" s="93"/>
      <c r="F180" s="9"/>
    </row>
    <row r="181" spans="1:6" x14ac:dyDescent="0.15">
      <c r="A181" s="93"/>
      <c r="F181" s="9"/>
    </row>
    <row r="182" spans="1:6" x14ac:dyDescent="0.15">
      <c r="A182" s="93"/>
      <c r="F182" s="9"/>
    </row>
    <row r="183" spans="1:6" x14ac:dyDescent="0.15">
      <c r="A183" s="93"/>
      <c r="F183" s="9"/>
    </row>
    <row r="184" spans="1:6" x14ac:dyDescent="0.15">
      <c r="A184" s="93"/>
      <c r="F184" s="9"/>
    </row>
    <row r="185" spans="1:6" x14ac:dyDescent="0.15">
      <c r="A185" s="93"/>
      <c r="F185" s="9"/>
    </row>
    <row r="186" spans="1:6" x14ac:dyDescent="0.15">
      <c r="A186" s="93"/>
      <c r="F186" s="9"/>
    </row>
    <row r="187" spans="1:6" x14ac:dyDescent="0.15">
      <c r="A187" s="93"/>
      <c r="F187" s="9"/>
    </row>
    <row r="188" spans="1:6" x14ac:dyDescent="0.15">
      <c r="A188" s="93"/>
      <c r="F188" s="9"/>
    </row>
    <row r="189" spans="1:6" x14ac:dyDescent="0.15">
      <c r="A189" s="93"/>
      <c r="F189" s="9"/>
    </row>
    <row r="190" spans="1:6" x14ac:dyDescent="0.15">
      <c r="A190" s="85"/>
      <c r="B190" s="8"/>
      <c r="C190" s="184"/>
      <c r="E190" s="86"/>
      <c r="F190" s="86"/>
    </row>
    <row r="191" spans="1:6" x14ac:dyDescent="0.15">
      <c r="A191" s="85"/>
      <c r="B191" s="8"/>
      <c r="C191" s="184"/>
      <c r="E191" s="86"/>
      <c r="F191" s="86"/>
    </row>
    <row r="192" spans="1:6" x14ac:dyDescent="0.15">
      <c r="A192" s="85"/>
      <c r="B192" s="8"/>
      <c r="C192" s="184"/>
      <c r="E192" s="86"/>
      <c r="F192" s="86"/>
    </row>
    <row r="193" spans="1:6" x14ac:dyDescent="0.15">
      <c r="A193" s="85"/>
      <c r="B193" s="8"/>
      <c r="C193" s="184"/>
      <c r="E193" s="86"/>
      <c r="F193" s="86"/>
    </row>
    <row r="194" spans="1:6" x14ac:dyDescent="0.15">
      <c r="A194" s="85"/>
      <c r="B194" s="8"/>
      <c r="C194" s="8"/>
      <c r="E194" s="9"/>
      <c r="F194" s="9"/>
    </row>
    <row r="195" spans="1:6" x14ac:dyDescent="0.15">
      <c r="A195" s="85"/>
      <c r="B195" s="8"/>
      <c r="C195" s="8"/>
      <c r="D195" s="6"/>
      <c r="E195" s="9"/>
      <c r="F195" s="9"/>
    </row>
    <row r="196" spans="1:6" x14ac:dyDescent="0.15">
      <c r="A196" s="85"/>
      <c r="B196" s="8"/>
      <c r="C196" s="6"/>
      <c r="D196" s="8"/>
      <c r="E196" s="88"/>
      <c r="F196" s="88"/>
    </row>
    <row r="197" spans="1:6" x14ac:dyDescent="0.15">
      <c r="A197" s="85"/>
      <c r="B197" s="8"/>
      <c r="C197" s="6"/>
      <c r="D197" s="88"/>
      <c r="E197" s="88"/>
      <c r="F197" s="88"/>
    </row>
    <row r="198" spans="1:6" x14ac:dyDescent="0.15">
      <c r="A198" s="85"/>
      <c r="C198" s="8"/>
      <c r="D198" s="8"/>
      <c r="E198" s="9"/>
      <c r="F198" s="9"/>
    </row>
    <row r="199" spans="1:6" x14ac:dyDescent="0.15">
      <c r="A199" s="85"/>
      <c r="C199" s="8"/>
      <c r="D199" s="8"/>
      <c r="E199" s="9"/>
      <c r="F199" s="9"/>
    </row>
    <row r="200" spans="1:6" x14ac:dyDescent="0.15">
      <c r="A200" s="85"/>
      <c r="C200" s="8"/>
      <c r="D200" s="8"/>
      <c r="E200" s="9"/>
      <c r="F200" s="9"/>
    </row>
    <row r="201" spans="1:6" x14ac:dyDescent="0.15">
      <c r="A201" s="85"/>
      <c r="C201" s="8"/>
      <c r="D201" s="8"/>
      <c r="E201" s="9"/>
      <c r="F201" s="9"/>
    </row>
    <row r="202" spans="1:6" x14ac:dyDescent="0.15">
      <c r="A202" s="85"/>
      <c r="C202" s="8"/>
      <c r="D202" s="8"/>
      <c r="E202" s="9"/>
      <c r="F202" s="9"/>
    </row>
    <row r="203" spans="1:6" x14ac:dyDescent="0.15">
      <c r="A203" s="85"/>
      <c r="C203" s="8"/>
      <c r="D203" s="8"/>
      <c r="E203" s="9"/>
      <c r="F203" s="9"/>
    </row>
    <row r="204" spans="1:6" x14ac:dyDescent="0.15">
      <c r="A204" s="85"/>
      <c r="C204" s="8"/>
      <c r="D204" s="8"/>
      <c r="E204" s="9"/>
      <c r="F204" s="9"/>
    </row>
    <row r="205" spans="1:6" x14ac:dyDescent="0.15">
      <c r="A205" s="85"/>
      <c r="C205" s="8"/>
      <c r="D205" s="8"/>
      <c r="E205" s="9"/>
      <c r="F205" s="9"/>
    </row>
    <row r="206" spans="1:6" x14ac:dyDescent="0.15">
      <c r="A206" s="85"/>
      <c r="C206" s="8"/>
      <c r="D206" s="8"/>
      <c r="E206" s="9"/>
      <c r="F206" s="9"/>
    </row>
    <row r="207" spans="1:6" x14ac:dyDescent="0.15">
      <c r="A207" s="85"/>
      <c r="C207" s="8"/>
      <c r="D207" s="8"/>
      <c r="E207" s="9"/>
      <c r="F207" s="9"/>
    </row>
    <row r="208" spans="1:6" x14ac:dyDescent="0.15">
      <c r="A208" s="85"/>
      <c r="C208" s="8"/>
      <c r="D208" s="8"/>
      <c r="E208" s="9"/>
      <c r="F208" s="9"/>
    </row>
    <row r="209" spans="1:6" x14ac:dyDescent="0.15">
      <c r="A209" s="85"/>
      <c r="D209" s="87"/>
      <c r="E209" s="7"/>
      <c r="F209" s="7"/>
    </row>
    <row r="210" spans="1:6" x14ac:dyDescent="0.15">
      <c r="D210" s="87"/>
      <c r="E210" s="7"/>
      <c r="F210" s="7"/>
    </row>
    <row r="211" spans="1:6" x14ac:dyDescent="0.15">
      <c r="A211" s="91"/>
      <c r="D211" s="87"/>
      <c r="E211" s="7"/>
      <c r="F211" s="7"/>
    </row>
    <row r="212" spans="1:6" x14ac:dyDescent="0.15">
      <c r="A212" s="91"/>
      <c r="D212" s="87"/>
      <c r="E212" s="7"/>
      <c r="F212" s="87"/>
    </row>
    <row r="213" spans="1:6" x14ac:dyDescent="0.15">
      <c r="A213" s="91"/>
      <c r="D213" s="87"/>
      <c r="E213" s="7"/>
      <c r="F213" s="87"/>
    </row>
    <row r="214" spans="1:6" x14ac:dyDescent="0.15">
      <c r="A214" s="91"/>
      <c r="D214" s="87"/>
      <c r="E214" s="7"/>
      <c r="F214" s="87"/>
    </row>
    <row r="215" spans="1:6" x14ac:dyDescent="0.15">
      <c r="A215" s="91"/>
      <c r="D215" s="87"/>
      <c r="E215" s="7"/>
      <c r="F215" s="87"/>
    </row>
    <row r="216" spans="1:6" x14ac:dyDescent="0.15">
      <c r="A216" s="91"/>
      <c r="C216" s="8"/>
      <c r="D216" s="8"/>
      <c r="E216" s="9"/>
      <c r="F216" s="87"/>
    </row>
    <row r="217" spans="1:6" x14ac:dyDescent="0.15">
      <c r="A217" s="91"/>
      <c r="C217" s="8"/>
      <c r="D217" s="8"/>
      <c r="E217" s="9"/>
      <c r="F217" s="87"/>
    </row>
    <row r="218" spans="1:6" x14ac:dyDescent="0.15">
      <c r="A218" s="91"/>
      <c r="C218" s="8"/>
      <c r="D218" s="8"/>
      <c r="E218" s="9"/>
      <c r="F218" s="87"/>
    </row>
    <row r="219" spans="1:6" x14ac:dyDescent="0.15">
      <c r="A219" s="91"/>
      <c r="D219" s="87"/>
      <c r="E219" s="7"/>
      <c r="F219" s="7"/>
    </row>
    <row r="220" spans="1:6" x14ac:dyDescent="0.15">
      <c r="A220" s="91"/>
      <c r="D220" s="87"/>
      <c r="E220" s="7"/>
      <c r="F220" s="7"/>
    </row>
    <row r="221" spans="1:6" x14ac:dyDescent="0.15">
      <c r="A221" s="91"/>
      <c r="D221" s="87"/>
      <c r="E221" s="7"/>
      <c r="F221" s="7"/>
    </row>
    <row r="222" spans="1:6" x14ac:dyDescent="0.15">
      <c r="A222" s="91"/>
      <c r="D222" s="87"/>
      <c r="E222" s="7"/>
      <c r="F222" s="7"/>
    </row>
    <row r="223" spans="1:6" x14ac:dyDescent="0.15">
      <c r="A223" s="91"/>
      <c r="D223" s="87"/>
      <c r="E223" s="7"/>
      <c r="F223" s="7"/>
    </row>
    <row r="224" spans="1:6" x14ac:dyDescent="0.15">
      <c r="A224" s="91"/>
      <c r="D224" s="87"/>
      <c r="E224" s="7"/>
      <c r="F224" s="7"/>
    </row>
    <row r="225" spans="1:6" x14ac:dyDescent="0.15">
      <c r="A225" s="91"/>
      <c r="D225" s="8"/>
      <c r="E225" s="9"/>
      <c r="F225" s="7"/>
    </row>
    <row r="226" spans="1:6" x14ac:dyDescent="0.15">
      <c r="A226" s="91"/>
      <c r="D226" s="87"/>
      <c r="E226" s="7"/>
      <c r="F226" s="7"/>
    </row>
    <row r="227" spans="1:6" x14ac:dyDescent="0.15">
      <c r="A227" s="91"/>
      <c r="D227" s="87"/>
      <c r="E227" s="7"/>
      <c r="F227" s="7"/>
    </row>
    <row r="228" spans="1:6" x14ac:dyDescent="0.15">
      <c r="A228" s="91"/>
      <c r="D228" s="87"/>
      <c r="E228" s="7"/>
      <c r="F228" s="7"/>
    </row>
    <row r="229" spans="1:6" x14ac:dyDescent="0.15">
      <c r="A229" s="91"/>
      <c r="D229" s="87"/>
      <c r="E229" s="7"/>
      <c r="F229" s="7"/>
    </row>
    <row r="230" spans="1:6" x14ac:dyDescent="0.15">
      <c r="A230" s="91"/>
      <c r="D230" s="87"/>
      <c r="E230" s="7"/>
      <c r="F230" s="7"/>
    </row>
    <row r="231" spans="1:6" x14ac:dyDescent="0.15">
      <c r="A231" s="91"/>
      <c r="D231" s="87"/>
      <c r="E231" s="7"/>
      <c r="F231" s="7"/>
    </row>
    <row r="232" spans="1:6" x14ac:dyDescent="0.15">
      <c r="A232" s="91"/>
      <c r="D232" s="87"/>
      <c r="E232" s="7"/>
      <c r="F232" s="7"/>
    </row>
    <row r="233" spans="1:6" x14ac:dyDescent="0.15">
      <c r="A233" s="91"/>
      <c r="D233" s="87"/>
      <c r="E233" s="7"/>
      <c r="F233" s="7"/>
    </row>
    <row r="234" spans="1:6" x14ac:dyDescent="0.15">
      <c r="A234" s="91"/>
      <c r="D234" s="87"/>
      <c r="E234" s="7"/>
      <c r="F234" s="7"/>
    </row>
    <row r="235" spans="1:6" x14ac:dyDescent="0.15">
      <c r="A235" s="91"/>
      <c r="D235" s="87"/>
      <c r="E235" s="7"/>
      <c r="F235" s="7"/>
    </row>
    <row r="236" spans="1:6" x14ac:dyDescent="0.15">
      <c r="A236" s="91"/>
      <c r="D236" s="87"/>
      <c r="E236" s="7"/>
      <c r="F236" s="7"/>
    </row>
    <row r="237" spans="1:6" x14ac:dyDescent="0.15">
      <c r="A237" s="91"/>
      <c r="D237" s="87"/>
      <c r="E237" s="7"/>
      <c r="F237" s="7"/>
    </row>
    <row r="238" spans="1:6" x14ac:dyDescent="0.15">
      <c r="A238" s="91"/>
      <c r="D238" s="87"/>
      <c r="E238" s="7"/>
      <c r="F238" s="7"/>
    </row>
    <row r="239" spans="1:6" x14ac:dyDescent="0.15">
      <c r="A239" s="91"/>
      <c r="D239" s="87"/>
      <c r="E239" s="7"/>
      <c r="F239" s="7"/>
    </row>
    <row r="240" spans="1:6" x14ac:dyDescent="0.15">
      <c r="A240" s="91"/>
      <c r="D240" s="87"/>
      <c r="E240" s="7"/>
      <c r="F240" s="7"/>
    </row>
    <row r="241" spans="1:6" x14ac:dyDescent="0.15">
      <c r="A241" s="91"/>
      <c r="D241" s="87"/>
      <c r="E241" s="7"/>
      <c r="F241" s="7"/>
    </row>
    <row r="242" spans="1:6" x14ac:dyDescent="0.15">
      <c r="A242" s="91"/>
      <c r="D242" s="87"/>
      <c r="E242" s="7"/>
      <c r="F242" s="7"/>
    </row>
    <row r="243" spans="1:6" x14ac:dyDescent="0.15">
      <c r="A243" s="91"/>
      <c r="D243" s="87"/>
      <c r="E243" s="7"/>
      <c r="F243" s="7"/>
    </row>
    <row r="244" spans="1:6" x14ac:dyDescent="0.15">
      <c r="A244" s="91"/>
      <c r="D244" s="87"/>
      <c r="E244" s="7"/>
      <c r="F244" s="7"/>
    </row>
    <row r="245" spans="1:6" x14ac:dyDescent="0.15">
      <c r="A245" s="91"/>
      <c r="D245" s="87"/>
      <c r="E245" s="7"/>
      <c r="F245" s="7"/>
    </row>
    <row r="246" spans="1:6" x14ac:dyDescent="0.15">
      <c r="A246" s="91"/>
      <c r="D246" s="87"/>
      <c r="E246" s="7"/>
      <c r="F246" s="7"/>
    </row>
  </sheetData>
  <mergeCells count="7">
    <mergeCell ref="A65:G65"/>
    <mergeCell ref="A66:G66"/>
    <mergeCell ref="A67:G67"/>
    <mergeCell ref="C5:F5"/>
    <mergeCell ref="A2:G2"/>
    <mergeCell ref="A3:G3"/>
    <mergeCell ref="A4:G4"/>
  </mergeCells>
  <printOptions horizontalCentered="1"/>
  <pageMargins left="0.75" right="0.75" top="0.75" bottom="0.5" header="0" footer="0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zoomScaleSheetLayoutView="90" workbookViewId="0">
      <selection activeCell="K17" sqref="K17"/>
    </sheetView>
  </sheetViews>
  <sheetFormatPr baseColWidth="10" defaultColWidth="8.83203125" defaultRowHeight="13" x14ac:dyDescent="0.15"/>
  <cols>
    <col min="1" max="1" width="4.5" style="149" customWidth="1"/>
    <col min="3" max="3" width="1.6640625" customWidth="1"/>
    <col min="4" max="4" width="24.6640625" customWidth="1"/>
    <col min="5" max="5" width="6.83203125" customWidth="1"/>
    <col min="6" max="6" width="20.33203125" customWidth="1"/>
    <col min="7" max="7" width="2.6640625" customWidth="1"/>
    <col min="8" max="8" width="14.33203125" style="110" customWidth="1"/>
    <col min="9" max="9" width="15.5" style="110" bestFit="1" customWidth="1"/>
    <col min="10" max="10" width="15.5" style="110" hidden="1" customWidth="1"/>
    <col min="11" max="11" width="16.1640625" style="110" customWidth="1"/>
    <col min="12" max="12" width="4.33203125" style="146" customWidth="1"/>
    <col min="13" max="13" width="11.33203125" style="146" customWidth="1"/>
    <col min="14" max="15" width="9.1640625" style="123" customWidth="1"/>
    <col min="16" max="16" width="9.1640625" customWidth="1"/>
  </cols>
  <sheetData>
    <row r="2" spans="1:16" x14ac:dyDescent="0.15">
      <c r="B2" s="408" t="s">
        <v>1</v>
      </c>
      <c r="C2" s="396"/>
      <c r="D2" s="396"/>
      <c r="E2" s="396"/>
      <c r="F2" s="396"/>
      <c r="G2" s="396"/>
      <c r="H2" s="396"/>
      <c r="I2" s="396"/>
      <c r="J2" s="396"/>
      <c r="K2" s="396"/>
    </row>
    <row r="3" spans="1:16" x14ac:dyDescent="0.15">
      <c r="B3" s="408" t="s">
        <v>218</v>
      </c>
      <c r="C3" s="396"/>
      <c r="D3" s="396"/>
      <c r="E3" s="396"/>
      <c r="F3" s="396"/>
      <c r="G3" s="396"/>
      <c r="H3" s="396"/>
      <c r="I3" s="396"/>
      <c r="J3" s="396"/>
      <c r="K3" s="396"/>
    </row>
    <row r="4" spans="1:16" x14ac:dyDescent="0.15">
      <c r="B4" s="408" t="s">
        <v>349</v>
      </c>
      <c r="C4" s="396"/>
      <c r="D4" s="396"/>
      <c r="E4" s="396"/>
      <c r="F4" s="396"/>
      <c r="G4" s="396"/>
      <c r="H4" s="396"/>
      <c r="I4" s="396"/>
      <c r="J4" s="396"/>
      <c r="K4" s="396"/>
    </row>
    <row r="6" spans="1:16" s="16" customFormat="1" ht="21.75" customHeight="1" x14ac:dyDescent="0.15">
      <c r="A6" s="149"/>
      <c r="B6" s="241"/>
      <c r="C6" s="232"/>
      <c r="D6" s="218"/>
      <c r="E6" s="218"/>
      <c r="F6" s="239"/>
      <c r="G6" s="239"/>
      <c r="H6" s="240"/>
      <c r="I6" s="222"/>
      <c r="J6" s="222"/>
      <c r="K6" s="222"/>
      <c r="L6" s="146"/>
      <c r="M6" s="146"/>
      <c r="N6" s="123"/>
      <c r="O6" s="123"/>
    </row>
    <row r="7" spans="1:16" s="16" customFormat="1" ht="16" x14ac:dyDescent="0.2">
      <c r="A7" s="149"/>
      <c r="B7" s="235"/>
      <c r="C7" s="234"/>
      <c r="D7" s="185"/>
      <c r="E7" s="138"/>
      <c r="F7" s="140"/>
      <c r="G7" s="140"/>
      <c r="H7" s="139"/>
      <c r="I7" s="119"/>
      <c r="J7" s="119"/>
      <c r="K7" s="343"/>
      <c r="L7" s="155"/>
      <c r="M7" s="155"/>
      <c r="N7" s="124"/>
      <c r="O7" s="124"/>
      <c r="P7" s="234"/>
    </row>
    <row r="8" spans="1:16" s="234" customFormat="1" ht="16" x14ac:dyDescent="0.2">
      <c r="A8" s="150"/>
      <c r="B8" s="97"/>
      <c r="C8" s="220"/>
      <c r="D8" s="96" t="s">
        <v>233</v>
      </c>
      <c r="E8" s="96"/>
      <c r="F8" s="96"/>
      <c r="G8" s="96"/>
      <c r="H8" s="162" t="s">
        <v>95</v>
      </c>
      <c r="I8" s="162" t="s">
        <v>96</v>
      </c>
      <c r="J8" s="162" t="s">
        <v>125</v>
      </c>
      <c r="K8" s="363" t="s">
        <v>97</v>
      </c>
      <c r="L8" s="155"/>
      <c r="M8" s="155"/>
      <c r="N8" s="124"/>
      <c r="O8" s="124"/>
    </row>
    <row r="9" spans="1:16" s="16" customFormat="1" ht="16" x14ac:dyDescent="0.2">
      <c r="A9" s="149"/>
      <c r="B9" s="217" t="s">
        <v>243</v>
      </c>
      <c r="C9" s="232"/>
      <c r="D9" s="242" t="s">
        <v>246</v>
      </c>
      <c r="E9" s="180"/>
      <c r="F9" s="181"/>
      <c r="G9" s="181"/>
      <c r="H9" s="226">
        <v>29687.25</v>
      </c>
      <c r="I9" s="226">
        <f>22000+3843.5+3843.75</f>
        <v>29687.25</v>
      </c>
      <c r="J9" s="139"/>
      <c r="K9" s="341">
        <f t="shared" ref="K9:K15" si="0">+H9-I9</f>
        <v>0</v>
      </c>
      <c r="L9" s="155"/>
      <c r="M9" s="155"/>
      <c r="N9" s="124"/>
      <c r="O9" s="124"/>
      <c r="P9" s="234"/>
    </row>
    <row r="10" spans="1:16" s="16" customFormat="1" ht="16" x14ac:dyDescent="0.2">
      <c r="A10" s="149"/>
      <c r="B10" s="217" t="s">
        <v>182</v>
      </c>
      <c r="C10" s="232"/>
      <c r="D10" s="242" t="s">
        <v>255</v>
      </c>
      <c r="E10" s="180"/>
      <c r="F10" s="181"/>
      <c r="G10" s="181"/>
      <c r="H10" s="226">
        <v>7200</v>
      </c>
      <c r="I10" s="226">
        <v>7200</v>
      </c>
      <c r="J10" s="139"/>
      <c r="K10" s="341">
        <f t="shared" ref="K10:K13" si="1">+H10-I10</f>
        <v>0</v>
      </c>
      <c r="L10" s="155"/>
      <c r="M10" s="155"/>
      <c r="N10" s="124"/>
      <c r="O10" s="124"/>
      <c r="P10" s="234"/>
    </row>
    <row r="11" spans="1:16" s="16" customFormat="1" ht="16" x14ac:dyDescent="0.2">
      <c r="A11" s="149"/>
      <c r="B11" s="217" t="s">
        <v>183</v>
      </c>
      <c r="C11" s="232"/>
      <c r="D11" s="242" t="s">
        <v>256</v>
      </c>
      <c r="E11" s="206"/>
      <c r="F11" s="206">
        <f>5000+5000+5000</f>
        <v>15000</v>
      </c>
      <c r="G11" s="181"/>
      <c r="H11" s="226">
        <v>7200</v>
      </c>
      <c r="I11" s="226">
        <v>7200</v>
      </c>
      <c r="J11" s="139"/>
      <c r="K11" s="341">
        <f t="shared" si="1"/>
        <v>0</v>
      </c>
      <c r="L11" s="155"/>
      <c r="M11" s="155"/>
      <c r="N11" s="124"/>
      <c r="O11" s="124"/>
      <c r="P11" s="234"/>
    </row>
    <row r="12" spans="1:16" s="16" customFormat="1" ht="16" x14ac:dyDescent="0.2">
      <c r="A12" s="149"/>
      <c r="B12" s="217" t="s">
        <v>203</v>
      </c>
      <c r="C12" s="232"/>
      <c r="D12" s="242" t="s">
        <v>204</v>
      </c>
      <c r="E12" s="206"/>
      <c r="F12" s="206"/>
      <c r="G12" s="181"/>
      <c r="H12" s="226">
        <v>23800</v>
      </c>
      <c r="I12" s="226">
        <f>20000+3800</f>
        <v>23800</v>
      </c>
      <c r="J12" s="139"/>
      <c r="K12" s="341">
        <f t="shared" si="1"/>
        <v>0</v>
      </c>
      <c r="L12" s="155"/>
      <c r="M12" s="155"/>
      <c r="N12" s="124"/>
      <c r="O12" s="124"/>
      <c r="P12" s="234"/>
    </row>
    <row r="13" spans="1:16" s="16" customFormat="1" ht="16" x14ac:dyDescent="0.2">
      <c r="A13" s="149"/>
      <c r="B13" s="217" t="s">
        <v>192</v>
      </c>
      <c r="C13" s="232"/>
      <c r="D13" s="242" t="s">
        <v>257</v>
      </c>
      <c r="E13" s="206"/>
      <c r="F13" s="206"/>
      <c r="G13" s="181"/>
      <c r="H13" s="226">
        <v>7200</v>
      </c>
      <c r="I13" s="226">
        <f>7200</f>
        <v>7200</v>
      </c>
      <c r="J13" s="139"/>
      <c r="K13" s="341">
        <f t="shared" si="1"/>
        <v>0</v>
      </c>
      <c r="L13" s="155"/>
      <c r="M13" s="155"/>
      <c r="N13" s="124"/>
      <c r="O13" s="124"/>
      <c r="P13" s="234"/>
    </row>
    <row r="14" spans="1:16" s="16" customFormat="1" ht="16" x14ac:dyDescent="0.2">
      <c r="A14" s="149"/>
      <c r="B14" s="217" t="s">
        <v>244</v>
      </c>
      <c r="C14" s="232"/>
      <c r="D14" s="242" t="s">
        <v>247</v>
      </c>
      <c r="E14" s="180"/>
      <c r="F14" s="181"/>
      <c r="G14" s="181"/>
      <c r="H14" s="226">
        <v>20042.5</v>
      </c>
      <c r="I14" s="226">
        <f>5010.62+5010.62+7521.26+2500</f>
        <v>20042.5</v>
      </c>
      <c r="J14" s="139"/>
      <c r="K14" s="341">
        <f t="shared" si="0"/>
        <v>0</v>
      </c>
      <c r="L14" s="155"/>
      <c r="M14" s="155"/>
      <c r="N14" s="124"/>
      <c r="O14" s="124"/>
      <c r="P14" s="234"/>
    </row>
    <row r="15" spans="1:16" s="16" customFormat="1" ht="16" x14ac:dyDescent="0.2">
      <c r="A15" s="149"/>
      <c r="B15" s="217" t="s">
        <v>245</v>
      </c>
      <c r="C15" s="232"/>
      <c r="D15" s="242" t="s">
        <v>248</v>
      </c>
      <c r="E15" s="180"/>
      <c r="F15" s="181"/>
      <c r="G15" s="181"/>
      <c r="H15" s="226">
        <v>19910.2</v>
      </c>
      <c r="I15" s="226">
        <f>4977.55+4977.55+4977.55+4977.55</f>
        <v>19910.2</v>
      </c>
      <c r="J15" s="139"/>
      <c r="K15" s="341">
        <f t="shared" si="0"/>
        <v>0</v>
      </c>
      <c r="L15" s="155"/>
      <c r="M15" s="155"/>
      <c r="N15" s="124"/>
      <c r="O15" s="124"/>
      <c r="P15" s="234"/>
    </row>
    <row r="16" spans="1:16" s="16" customFormat="1" ht="16" x14ac:dyDescent="0.2">
      <c r="A16" s="149"/>
      <c r="B16" s="217" t="s">
        <v>258</v>
      </c>
      <c r="C16" s="232"/>
      <c r="D16" s="242" t="s">
        <v>259</v>
      </c>
      <c r="E16" s="180"/>
      <c r="F16" s="181"/>
      <c r="G16" s="181"/>
      <c r="H16" s="226">
        <v>20713.5</v>
      </c>
      <c r="I16" s="226">
        <f>5178.37+5178.37+5178.37+5178.37</f>
        <v>20713.48</v>
      </c>
      <c r="J16" s="139"/>
      <c r="K16" s="341">
        <f t="shared" ref="K16" si="2">+H16-I16</f>
        <v>2.0000000000436557E-2</v>
      </c>
      <c r="L16" s="155"/>
      <c r="M16" s="155"/>
      <c r="N16" s="124"/>
      <c r="O16" s="124"/>
      <c r="P16" s="234"/>
    </row>
    <row r="17" spans="1:16" s="234" customFormat="1" x14ac:dyDescent="0.15">
      <c r="A17" s="150"/>
      <c r="B17" s="238"/>
      <c r="C17" s="220"/>
      <c r="D17" s="319" t="s">
        <v>242</v>
      </c>
      <c r="E17" s="79"/>
      <c r="F17" s="79"/>
      <c r="G17" s="79"/>
      <c r="H17" s="115">
        <f>SUM(H9:H16)</f>
        <v>135753.45000000001</v>
      </c>
      <c r="I17" s="115">
        <f>SUM(I9:I16)</f>
        <v>135753.43</v>
      </c>
      <c r="J17" s="115" t="e">
        <f>SUM(#REF!)</f>
        <v>#REF!</v>
      </c>
      <c r="K17" s="364">
        <f>SUM(K9:K16)</f>
        <v>2.0000000000436557E-2</v>
      </c>
      <c r="L17" s="155"/>
      <c r="M17" s="155"/>
      <c r="N17" s="124"/>
      <c r="O17" s="124"/>
    </row>
    <row r="18" spans="1:16" s="16" customFormat="1" ht="16" x14ac:dyDescent="0.2">
      <c r="A18" s="149"/>
      <c r="B18" s="235"/>
      <c r="C18" s="234"/>
      <c r="D18" s="185"/>
      <c r="E18" s="138"/>
      <c r="F18" s="140"/>
      <c r="G18" s="140"/>
      <c r="H18" s="139"/>
      <c r="I18" s="119"/>
      <c r="J18" s="119"/>
      <c r="K18" s="369"/>
      <c r="L18" s="155"/>
      <c r="M18" s="155"/>
      <c r="N18" s="124"/>
      <c r="O18" s="124"/>
      <c r="P18" s="234"/>
    </row>
    <row r="19" spans="1:16" s="234" customFormat="1" ht="16" x14ac:dyDescent="0.2">
      <c r="A19" s="150"/>
      <c r="B19" s="97"/>
      <c r="C19" s="220"/>
      <c r="D19" s="96" t="s">
        <v>298</v>
      </c>
      <c r="E19" s="96"/>
      <c r="F19" s="96"/>
      <c r="G19" s="96"/>
      <c r="H19" s="162" t="s">
        <v>95</v>
      </c>
      <c r="I19" s="162" t="s">
        <v>96</v>
      </c>
      <c r="J19" s="162" t="s">
        <v>125</v>
      </c>
      <c r="K19" s="363" t="s">
        <v>97</v>
      </c>
      <c r="L19" s="155"/>
      <c r="M19" s="155"/>
      <c r="N19" s="124"/>
      <c r="O19" s="124"/>
    </row>
    <row r="20" spans="1:16" s="16" customFormat="1" ht="16" x14ac:dyDescent="0.2">
      <c r="A20" s="149"/>
      <c r="B20" s="217" t="s">
        <v>203</v>
      </c>
      <c r="C20" s="232"/>
      <c r="D20" s="242" t="s">
        <v>204</v>
      </c>
      <c r="E20" s="206"/>
      <c r="F20" s="206"/>
      <c r="G20" s="181"/>
      <c r="H20" s="226">
        <v>20000</v>
      </c>
      <c r="I20" s="226">
        <f>20000-3800</f>
        <v>16200</v>
      </c>
      <c r="J20" s="139"/>
      <c r="K20" s="341">
        <f t="shared" ref="K20:K24" si="3">+H20-I20</f>
        <v>3800</v>
      </c>
      <c r="L20" s="155"/>
      <c r="M20" s="155"/>
      <c r="N20" s="124"/>
      <c r="O20" s="124"/>
      <c r="P20" s="234"/>
    </row>
    <row r="21" spans="1:16" s="16" customFormat="1" ht="16" x14ac:dyDescent="0.2">
      <c r="A21" s="149"/>
      <c r="B21" s="217" t="s">
        <v>192</v>
      </c>
      <c r="C21" s="232"/>
      <c r="D21" s="242" t="s">
        <v>257</v>
      </c>
      <c r="E21" s="206"/>
      <c r="F21" s="206"/>
      <c r="G21" s="181"/>
      <c r="H21" s="226">
        <v>7500</v>
      </c>
      <c r="I21" s="226">
        <f>7500</f>
        <v>7500</v>
      </c>
      <c r="J21" s="139"/>
      <c r="K21" s="341">
        <f t="shared" si="3"/>
        <v>0</v>
      </c>
      <c r="L21" s="155"/>
      <c r="M21" s="155"/>
      <c r="N21" s="124"/>
      <c r="O21" s="124"/>
      <c r="P21" s="234"/>
    </row>
    <row r="22" spans="1:16" s="16" customFormat="1" ht="16" x14ac:dyDescent="0.2">
      <c r="A22" s="149"/>
      <c r="B22" s="217" t="s">
        <v>318</v>
      </c>
      <c r="C22" s="232"/>
      <c r="D22" s="242" t="s">
        <v>323</v>
      </c>
      <c r="E22" s="206"/>
      <c r="F22" s="206"/>
      <c r="G22" s="181"/>
      <c r="H22" s="226">
        <v>7500</v>
      </c>
      <c r="I22" s="226">
        <f>7500</f>
        <v>7500</v>
      </c>
      <c r="J22" s="139"/>
      <c r="K22" s="341">
        <f t="shared" si="3"/>
        <v>0</v>
      </c>
      <c r="L22" s="155"/>
      <c r="M22" s="155"/>
      <c r="N22" s="124"/>
      <c r="O22" s="124"/>
      <c r="P22" s="234"/>
    </row>
    <row r="23" spans="1:16" s="16" customFormat="1" ht="16" x14ac:dyDescent="0.2">
      <c r="A23" s="149"/>
      <c r="B23" s="217" t="s">
        <v>319</v>
      </c>
      <c r="C23" s="232"/>
      <c r="D23" s="242" t="s">
        <v>321</v>
      </c>
      <c r="E23" s="206"/>
      <c r="F23" s="206"/>
      <c r="G23" s="181"/>
      <c r="H23" s="226">
        <v>15000</v>
      </c>
      <c r="I23" s="226"/>
      <c r="J23" s="139"/>
      <c r="K23" s="341">
        <f t="shared" si="3"/>
        <v>15000</v>
      </c>
      <c r="L23" s="155"/>
      <c r="M23" s="155"/>
      <c r="N23" s="124"/>
      <c r="O23" s="124"/>
      <c r="P23" s="234"/>
    </row>
    <row r="24" spans="1:16" s="16" customFormat="1" ht="16" x14ac:dyDescent="0.2">
      <c r="A24" s="149"/>
      <c r="B24" s="217" t="s">
        <v>320</v>
      </c>
      <c r="C24" s="232"/>
      <c r="D24" s="242" t="s">
        <v>322</v>
      </c>
      <c r="E24" s="206"/>
      <c r="F24" s="206"/>
      <c r="G24" s="181"/>
      <c r="H24" s="226">
        <v>15000</v>
      </c>
      <c r="I24" s="226">
        <f>3750</f>
        <v>3750</v>
      </c>
      <c r="J24" s="139"/>
      <c r="K24" s="341">
        <f t="shared" si="3"/>
        <v>11250</v>
      </c>
      <c r="L24" s="155"/>
      <c r="M24" s="155"/>
      <c r="N24" s="124"/>
      <c r="O24" s="124"/>
      <c r="P24" s="234"/>
    </row>
    <row r="25" spans="1:16" s="16" customFormat="1" x14ac:dyDescent="0.15">
      <c r="A25" s="149"/>
      <c r="B25" s="238"/>
      <c r="C25" s="220"/>
      <c r="D25" s="319" t="s">
        <v>299</v>
      </c>
      <c r="E25" s="79"/>
      <c r="F25" s="79"/>
      <c r="G25" s="79"/>
      <c r="H25" s="115">
        <f>SUM(H19:H24)</f>
        <v>65000</v>
      </c>
      <c r="I25" s="115">
        <f>SUM(I19:I24)</f>
        <v>34950</v>
      </c>
      <c r="J25" s="115" t="e">
        <f>SUM(#REF!)</f>
        <v>#REF!</v>
      </c>
      <c r="K25" s="364">
        <f>SUM(K19:K24)</f>
        <v>30050</v>
      </c>
      <c r="L25" s="155"/>
      <c r="M25" s="155"/>
      <c r="N25" s="124"/>
      <c r="O25" s="124"/>
      <c r="P25" s="234"/>
    </row>
    <row r="26" spans="1:16" s="16" customFormat="1" ht="17" thickBot="1" x14ac:dyDescent="0.25">
      <c r="A26" s="149"/>
      <c r="B26" s="235"/>
      <c r="C26" s="234"/>
      <c r="D26" s="185"/>
      <c r="E26" s="138"/>
      <c r="F26" s="140"/>
      <c r="G26" s="140"/>
      <c r="H26" s="139"/>
      <c r="I26" s="119"/>
      <c r="J26" s="119"/>
      <c r="K26" s="384"/>
      <c r="L26" s="155"/>
      <c r="M26" s="155"/>
      <c r="N26" s="124"/>
      <c r="O26" s="124"/>
      <c r="P26" s="234"/>
    </row>
    <row r="27" spans="1:16" s="16" customFormat="1" ht="17" thickBot="1" x14ac:dyDescent="0.25">
      <c r="A27" s="149"/>
      <c r="B27" s="235"/>
      <c r="C27" s="234"/>
      <c r="D27" s="262" t="s">
        <v>187</v>
      </c>
      <c r="E27" s="263"/>
      <c r="F27" s="263"/>
      <c r="G27" s="263"/>
      <c r="H27" s="264">
        <f>SUM(H17+H25)</f>
        <v>200753.45</v>
      </c>
      <c r="I27" s="264">
        <f>SUM(I17+I25)</f>
        <v>170703.43</v>
      </c>
      <c r="J27" s="264" t="e">
        <f>SUM(#REF!,#REF!,#REF!,#REF!,#REF!,#REF!)</f>
        <v>#REF!</v>
      </c>
      <c r="K27" s="264">
        <f>SUM(K17+K25)</f>
        <v>30050.02</v>
      </c>
      <c r="L27" s="194"/>
      <c r="M27" s="194"/>
      <c r="N27" s="194"/>
      <c r="O27" s="194"/>
      <c r="P27" s="234"/>
    </row>
    <row r="28" spans="1:16" s="16" customFormat="1" ht="13" customHeight="1" x14ac:dyDescent="0.15">
      <c r="A28" s="149"/>
      <c r="B28" s="235"/>
      <c r="C28" s="234"/>
      <c r="D28" s="137"/>
      <c r="E28" s="137"/>
      <c r="F28" s="137"/>
      <c r="G28" s="137"/>
      <c r="H28" s="119"/>
      <c r="I28" s="156"/>
      <c r="J28" s="156"/>
      <c r="K28"/>
      <c r="L28" s="194"/>
      <c r="M28" s="194"/>
      <c r="N28" s="194"/>
      <c r="O28" s="194"/>
      <c r="P28" s="234"/>
    </row>
    <row r="29" spans="1:16" s="16" customFormat="1" ht="13" customHeight="1" x14ac:dyDescent="0.15">
      <c r="A29" s="149"/>
      <c r="B29" s="235"/>
      <c r="C29" s="234"/>
      <c r="D29" s="234"/>
      <c r="E29" s="234"/>
      <c r="F29" s="320" t="s">
        <v>295</v>
      </c>
      <c r="G29" s="138"/>
      <c r="H29" s="119">
        <v>150000</v>
      </c>
      <c r="I29" s="156"/>
      <c r="J29" s="156"/>
      <c r="K29" s="265"/>
      <c r="L29" s="194"/>
      <c r="M29" s="194"/>
      <c r="N29" s="194"/>
      <c r="O29" s="194"/>
      <c r="P29" s="234"/>
    </row>
    <row r="30" spans="1:16" s="16" customFormat="1" ht="13" customHeight="1" x14ac:dyDescent="0.15">
      <c r="A30" s="149"/>
      <c r="B30" s="235"/>
      <c r="C30" s="234"/>
      <c r="D30" s="234"/>
      <c r="E30" s="234"/>
      <c r="F30" s="320" t="s">
        <v>296</v>
      </c>
      <c r="G30" s="138"/>
      <c r="H30" s="119">
        <f>-20000-45000</f>
        <v>-65000</v>
      </c>
      <c r="I30" s="340"/>
      <c r="J30" s="156"/>
      <c r="K30" s="265"/>
      <c r="L30"/>
      <c r="M30"/>
      <c r="N30"/>
      <c r="O30"/>
      <c r="P30" s="234"/>
    </row>
    <row r="31" spans="1:16" s="16" customFormat="1" x14ac:dyDescent="0.15">
      <c r="A31" s="149"/>
      <c r="B31" s="235"/>
      <c r="C31" s="234"/>
      <c r="D31" s="234"/>
      <c r="E31" s="234"/>
      <c r="F31" s="138" t="s">
        <v>133</v>
      </c>
      <c r="G31" s="138"/>
      <c r="H31" s="139">
        <v>0</v>
      </c>
      <c r="I31" s="340"/>
      <c r="J31" s="156"/>
      <c r="K31"/>
      <c r="L31"/>
      <c r="M31"/>
      <c r="N31"/>
      <c r="O31"/>
    </row>
    <row r="32" spans="1:16" s="16" customFormat="1" ht="14" thickBot="1" x14ac:dyDescent="0.2">
      <c r="A32" s="149"/>
      <c r="B32" s="235"/>
      <c r="C32" s="234"/>
      <c r="D32" s="234"/>
      <c r="E32" s="234"/>
      <c r="F32" s="320" t="s">
        <v>297</v>
      </c>
      <c r="G32" s="138"/>
      <c r="H32" s="359">
        <f>SUM(H29:H31)</f>
        <v>85000</v>
      </c>
      <c r="I32" s="179"/>
      <c r="J32" s="156"/>
      <c r="K32"/>
      <c r="L32" s="146"/>
      <c r="M32" s="146"/>
      <c r="N32" s="123"/>
      <c r="O32" s="123"/>
    </row>
    <row r="33" spans="1:15" s="16" customFormat="1" ht="14" thickTop="1" x14ac:dyDescent="0.15">
      <c r="A33" s="149"/>
      <c r="B33" s="235"/>
      <c r="C33" s="234"/>
      <c r="D33" s="138"/>
      <c r="E33" s="138"/>
      <c r="F33" s="26"/>
      <c r="G33" s="75"/>
      <c r="H33" s="134"/>
      <c r="I33" s="179">
        <f>SUM(I31:I32)</f>
        <v>0</v>
      </c>
      <c r="J33" s="156"/>
      <c r="K33"/>
      <c r="L33" s="146"/>
      <c r="M33" s="146"/>
      <c r="N33" s="123"/>
      <c r="O33" s="123"/>
    </row>
    <row r="34" spans="1:15" s="16" customFormat="1" ht="15.75" customHeight="1" x14ac:dyDescent="0.15">
      <c r="A34" s="149"/>
      <c r="B34" s="235"/>
      <c r="C34" s="234"/>
      <c r="D34" s="334"/>
      <c r="E34" s="138"/>
      <c r="F34" s="26"/>
      <c r="G34" s="75"/>
      <c r="H34" s="119"/>
      <c r="I34" s="156"/>
      <c r="J34" s="156"/>
      <c r="K34" s="163"/>
      <c r="L34" s="146"/>
      <c r="M34" s="146"/>
      <c r="N34" s="123"/>
      <c r="O34" s="123"/>
    </row>
    <row r="35" spans="1:15" s="16" customFormat="1" x14ac:dyDescent="0.15">
      <c r="A35" s="149"/>
      <c r="B35" s="235"/>
      <c r="C35" s="234"/>
      <c r="D35"/>
      <c r="E35"/>
      <c r="F35"/>
      <c r="G35"/>
      <c r="H35" s="110"/>
      <c r="I35" s="110"/>
      <c r="J35" s="110"/>
      <c r="K35" s="164"/>
      <c r="L35" s="146"/>
      <c r="M35" s="146"/>
      <c r="N35" s="123"/>
      <c r="O35" s="123"/>
    </row>
    <row r="37" spans="1:15" s="146" customFormat="1" x14ac:dyDescent="0.15">
      <c r="A37" s="149"/>
      <c r="B37"/>
      <c r="C37"/>
      <c r="D37"/>
      <c r="E37"/>
      <c r="F37"/>
      <c r="G37"/>
      <c r="H37" s="110"/>
      <c r="I37" s="110"/>
      <c r="J37" s="110"/>
      <c r="K37" s="322" t="s">
        <v>134</v>
      </c>
      <c r="N37" s="123"/>
      <c r="O37" s="123"/>
    </row>
    <row r="38" spans="1:15" s="146" customFormat="1" x14ac:dyDescent="0.15">
      <c r="A38" s="149"/>
      <c r="B38"/>
      <c r="C38"/>
      <c r="D38"/>
      <c r="E38"/>
      <c r="F38"/>
      <c r="G38"/>
      <c r="H38" s="110"/>
      <c r="I38" s="110"/>
      <c r="J38" s="110"/>
      <c r="K38" s="164"/>
      <c r="N38" s="123"/>
      <c r="O38" s="123"/>
    </row>
    <row r="39" spans="1:15" s="146" customFormat="1" x14ac:dyDescent="0.15">
      <c r="A39" s="149"/>
      <c r="B39"/>
      <c r="C39"/>
      <c r="D39"/>
      <c r="E39"/>
      <c r="F39"/>
      <c r="G39"/>
      <c r="H39" s="110"/>
      <c r="I39" s="110"/>
      <c r="J39" s="110"/>
      <c r="K39" s="164"/>
      <c r="N39" s="123"/>
      <c r="O39" s="123"/>
    </row>
    <row r="40" spans="1:15" s="146" customFormat="1" x14ac:dyDescent="0.15">
      <c r="A40" s="149"/>
      <c r="B40"/>
      <c r="C40"/>
      <c r="D40"/>
      <c r="E40"/>
      <c r="F40"/>
      <c r="G40"/>
      <c r="H40" s="110"/>
      <c r="I40" s="110"/>
      <c r="J40" s="110"/>
      <c r="K40" s="164"/>
      <c r="N40" s="123"/>
      <c r="O40" s="123"/>
    </row>
    <row r="41" spans="1:15" s="146" customFormat="1" x14ac:dyDescent="0.15">
      <c r="A41" s="149"/>
      <c r="B41"/>
      <c r="C41"/>
      <c r="D41"/>
      <c r="E41"/>
      <c r="F41"/>
      <c r="G41"/>
      <c r="H41" s="110"/>
      <c r="I41" s="110"/>
      <c r="J41" s="110"/>
      <c r="K41" s="164"/>
      <c r="N41" s="123"/>
      <c r="O41" s="123"/>
    </row>
    <row r="42" spans="1:15" s="146" customFormat="1" x14ac:dyDescent="0.15">
      <c r="A42" s="149"/>
      <c r="B42"/>
      <c r="C42"/>
      <c r="D42"/>
      <c r="E42"/>
      <c r="F42"/>
      <c r="G42"/>
      <c r="H42" s="110"/>
      <c r="I42" s="110"/>
      <c r="J42" s="110"/>
      <c r="K42" s="164"/>
      <c r="N42" s="123"/>
      <c r="O42" s="123"/>
    </row>
    <row r="43" spans="1:15" s="146" customFormat="1" x14ac:dyDescent="0.15">
      <c r="A43" s="149"/>
      <c r="B43"/>
      <c r="C43"/>
      <c r="D43"/>
      <c r="E43"/>
      <c r="F43"/>
      <c r="G43"/>
      <c r="H43" s="110"/>
      <c r="I43" s="110"/>
      <c r="J43" s="110"/>
      <c r="K43" s="164"/>
      <c r="N43" s="123"/>
      <c r="O43" s="123"/>
    </row>
    <row r="44" spans="1:15" s="146" customFormat="1" x14ac:dyDescent="0.15">
      <c r="A44" s="149"/>
      <c r="B44"/>
      <c r="C44"/>
      <c r="D44"/>
      <c r="E44"/>
      <c r="F44"/>
      <c r="G44"/>
      <c r="H44" s="110"/>
      <c r="I44" s="110"/>
      <c r="J44" s="110"/>
      <c r="K44" s="164"/>
      <c r="N44" s="123"/>
      <c r="O44" s="123"/>
    </row>
    <row r="45" spans="1:15" s="146" customFormat="1" x14ac:dyDescent="0.15">
      <c r="A45" s="149"/>
      <c r="B45"/>
      <c r="C45"/>
      <c r="D45"/>
      <c r="E45"/>
      <c r="F45"/>
      <c r="G45"/>
      <c r="H45" s="110"/>
      <c r="I45" s="110"/>
      <c r="J45" s="110"/>
      <c r="K45" s="164"/>
      <c r="N45" s="123"/>
      <c r="O45" s="123"/>
    </row>
    <row r="46" spans="1:15" s="146" customFormat="1" x14ac:dyDescent="0.15">
      <c r="A46" s="149"/>
      <c r="B46"/>
      <c r="C46"/>
      <c r="D46"/>
      <c r="E46"/>
      <c r="F46"/>
      <c r="G46"/>
      <c r="H46" s="110"/>
      <c r="I46" s="110"/>
      <c r="J46" s="110"/>
      <c r="K46" s="164"/>
      <c r="N46" s="123"/>
      <c r="O46" s="123"/>
    </row>
    <row r="47" spans="1:15" s="146" customFormat="1" x14ac:dyDescent="0.15">
      <c r="A47" s="149"/>
      <c r="B47"/>
      <c r="C47"/>
      <c r="D47"/>
      <c r="E47"/>
      <c r="F47"/>
      <c r="G47"/>
      <c r="H47" s="110"/>
      <c r="I47" s="110"/>
      <c r="J47" s="110"/>
      <c r="K47" s="164"/>
      <c r="N47" s="123"/>
      <c r="O47" s="123"/>
    </row>
    <row r="48" spans="1:15" s="146" customFormat="1" x14ac:dyDescent="0.15">
      <c r="A48" s="149"/>
      <c r="B48"/>
      <c r="C48"/>
      <c r="D48"/>
      <c r="E48"/>
      <c r="F48"/>
      <c r="G48"/>
      <c r="H48" s="110"/>
      <c r="I48" s="110"/>
      <c r="J48" s="110"/>
      <c r="K48" s="164"/>
      <c r="N48" s="123"/>
      <c r="O48" s="123"/>
    </row>
    <row r="49" spans="1:15" s="146" customFormat="1" x14ac:dyDescent="0.15">
      <c r="A49" s="149"/>
      <c r="B49"/>
      <c r="C49"/>
      <c r="D49"/>
      <c r="E49"/>
      <c r="F49"/>
      <c r="G49"/>
      <c r="H49" s="110"/>
      <c r="I49" s="110"/>
      <c r="J49" s="110"/>
      <c r="K49" s="164"/>
      <c r="N49" s="123"/>
      <c r="O49" s="123"/>
    </row>
    <row r="51" spans="1:15" s="146" customFormat="1" x14ac:dyDescent="0.15">
      <c r="A51" s="149"/>
      <c r="B51"/>
      <c r="C51"/>
      <c r="D51"/>
      <c r="E51"/>
      <c r="F51"/>
      <c r="G51"/>
      <c r="H51" s="110"/>
      <c r="I51" s="110"/>
      <c r="J51" s="110"/>
      <c r="K51" s="164"/>
      <c r="N51" s="123"/>
      <c r="O51" s="123"/>
    </row>
    <row r="52" spans="1:15" s="146" customFormat="1" x14ac:dyDescent="0.15">
      <c r="A52" s="149"/>
      <c r="B52"/>
      <c r="C52"/>
      <c r="D52"/>
      <c r="E52"/>
      <c r="F52"/>
      <c r="G52"/>
      <c r="H52" s="110"/>
      <c r="I52" s="110"/>
      <c r="J52" s="110"/>
      <c r="K52" s="164"/>
      <c r="N52" s="123"/>
      <c r="O52" s="123"/>
    </row>
    <row r="53" spans="1:15" s="146" customFormat="1" x14ac:dyDescent="0.15">
      <c r="A53" s="149"/>
      <c r="B53"/>
      <c r="C53"/>
      <c r="D53"/>
      <c r="E53"/>
      <c r="F53"/>
      <c r="G53"/>
      <c r="H53" s="110"/>
      <c r="I53" s="110"/>
      <c r="J53" s="110"/>
      <c r="K53" s="164"/>
      <c r="N53" s="123"/>
      <c r="O53" s="123"/>
    </row>
    <row r="57" spans="1:15" x14ac:dyDescent="0.15">
      <c r="A57"/>
      <c r="G57" s="376"/>
      <c r="H57"/>
      <c r="I57"/>
      <c r="J57"/>
      <c r="K57"/>
      <c r="L57"/>
      <c r="M57"/>
      <c r="N57"/>
      <c r="O57"/>
    </row>
  </sheetData>
  <mergeCells count="3">
    <mergeCell ref="B2:K2"/>
    <mergeCell ref="B3:K3"/>
    <mergeCell ref="B4:K4"/>
  </mergeCells>
  <printOptions horizontalCentered="1"/>
  <pageMargins left="0.25" right="0.25" top="0.5" bottom="0.25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</vt:lpstr>
      <vt:lpstr>change in net assets</vt:lpstr>
      <vt:lpstr>income statement</vt:lpstr>
      <vt:lpstr>Pro Rata Income Statement</vt:lpstr>
      <vt:lpstr>Admin vs Prog</vt:lpstr>
      <vt:lpstr>domestic projects (with 0 proj)</vt:lpstr>
      <vt:lpstr>int'l projects (with 0 proj)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fasb</dc:title>
  <dc:creator>Rhonda Martin</dc:creator>
  <cp:lastModifiedBy>Microsoft Office User</cp:lastModifiedBy>
  <cp:lastPrinted>2017-01-20T20:07:49Z</cp:lastPrinted>
  <dcterms:created xsi:type="dcterms:W3CDTF">1998-06-22T17:14:19Z</dcterms:created>
  <dcterms:modified xsi:type="dcterms:W3CDTF">2017-01-24T12:39:16Z</dcterms:modified>
</cp:coreProperties>
</file>